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3800" windowHeight="11760" activeTab="1"/>
  </bookViews>
  <sheets>
    <sheet name="戦績" sheetId="1" r:id="rId1"/>
    <sheet name="決勝Ｔ予定" sheetId="2" r:id="rId2"/>
    <sheet name="Ａ戦" sheetId="3" r:id="rId3"/>
    <sheet name="Ｂ戦" sheetId="4" r:id="rId4"/>
    <sheet name="Ｃ戦" sheetId="5" r:id="rId5"/>
    <sheet name="Ｄ戦" sheetId="6" r:id="rId6"/>
  </sheets>
  <definedNames>
    <definedName name="_xlnm.Print_Area" localSheetId="2">'Ａ戦'!$A$1:$AK$60</definedName>
    <definedName name="_xlnm.Print_Area" localSheetId="3">'Ｂ戦'!$A$1:$AG$45</definedName>
    <definedName name="_xlnm.Print_Area" localSheetId="4">'Ｃ戦'!$A$1:$AS$66</definedName>
    <definedName name="_xlnm.Print_Area" localSheetId="5">'Ｄ戦'!$A$1:$AD$28</definedName>
    <definedName name="_xlnm.Print_Area" localSheetId="0">'戦績'!$A$1:$AH$40</definedName>
  </definedNames>
  <calcPr fullCalcOnLoad="1" iterate="1" iterateCount="1" iterateDelta="0.001"/>
</workbook>
</file>

<file path=xl/comments3.xml><?xml version="1.0" encoding="utf-8"?>
<comments xmlns="http://schemas.openxmlformats.org/spreadsheetml/2006/main">
  <authors>
    <author>Administrator</author>
  </authors>
  <commentList>
    <comment ref="E33" authorId="0">
      <text>
        <r>
          <rPr>
            <b/>
            <sz val="9"/>
            <rFont val="MS P ゴシック"/>
            <family val="3"/>
          </rPr>
          <t>両チーム協議により
不戦敗で処理</t>
        </r>
      </text>
    </comment>
    <comment ref="M9" authorId="0">
      <text>
        <r>
          <rPr>
            <b/>
            <sz val="9"/>
            <rFont val="MS P ゴシック"/>
            <family val="3"/>
          </rPr>
          <t>両チーム協議により
不戦敗で処理</t>
        </r>
      </text>
    </comment>
    <comment ref="A7" authorId="0">
      <text>
        <r>
          <rPr>
            <b/>
            <sz val="9"/>
            <rFont val="MS P ゴシック"/>
            <family val="3"/>
          </rPr>
          <t>全勝優勝</t>
        </r>
      </text>
    </comment>
    <comment ref="A40" authorId="0">
      <text>
        <r>
          <rPr>
            <b/>
            <sz val="9"/>
            <rFont val="MS P ゴシック"/>
            <family val="3"/>
          </rPr>
          <t>全勝優勝</t>
        </r>
      </text>
    </comment>
    <comment ref="A18" authorId="0">
      <text>
        <r>
          <rPr>
            <b/>
            <sz val="9"/>
            <rFont val="MS P ゴシック"/>
            <family val="3"/>
          </rPr>
          <t>勝ち点TOPで優勝</t>
        </r>
      </text>
    </comment>
    <comment ref="A32" authorId="0">
      <text>
        <r>
          <rPr>
            <b/>
            <sz val="9"/>
            <rFont val="MS P ゴシック"/>
            <family val="3"/>
          </rPr>
          <t>勝ち点TOPで優勝</t>
        </r>
      </text>
    </comment>
  </commentList>
</comments>
</file>

<file path=xl/comments5.xml><?xml version="1.0" encoding="utf-8"?>
<comments xmlns="http://schemas.openxmlformats.org/spreadsheetml/2006/main">
  <authors>
    <author>user</author>
    <author>Administrator</author>
  </authors>
  <commentList>
    <comment ref="A4" authorId="0">
      <text>
        <r>
          <rPr>
            <b/>
            <sz val="9"/>
            <rFont val="ＭＳ Ｐゴシック"/>
            <family val="3"/>
          </rPr>
          <t>諸事情により棄権</t>
        </r>
      </text>
    </comment>
    <comment ref="A8" authorId="1">
      <text>
        <r>
          <rPr>
            <b/>
            <sz val="9"/>
            <rFont val="MS P ゴシック"/>
            <family val="3"/>
          </rPr>
          <t>全勝優勝</t>
        </r>
      </text>
    </comment>
    <comment ref="A37" authorId="1">
      <text>
        <r>
          <rPr>
            <b/>
            <sz val="9"/>
            <rFont val="MS P ゴシック"/>
            <family val="3"/>
          </rPr>
          <t>勝ち点TOPで優勝</t>
        </r>
      </text>
    </comment>
    <comment ref="A19" authorId="1">
      <text>
        <r>
          <rPr>
            <b/>
            <sz val="9"/>
            <rFont val="MS P ゴシック"/>
            <family val="3"/>
          </rPr>
          <t>勝ち点TOPで優勝</t>
        </r>
      </text>
    </comment>
    <comment ref="A48" authorId="1">
      <text>
        <r>
          <rPr>
            <b/>
            <sz val="9"/>
            <rFont val="MS P ゴシック"/>
            <family val="3"/>
          </rPr>
          <t>勝ち点同数も直接対決で勝利により優勝</t>
        </r>
      </text>
    </comment>
  </commentList>
</comments>
</file>

<file path=xl/sharedStrings.xml><?xml version="1.0" encoding="utf-8"?>
<sst xmlns="http://schemas.openxmlformats.org/spreadsheetml/2006/main" count="448" uniqueCount="108">
  <si>
    <t>Ａブロック</t>
  </si>
  <si>
    <t>Ｂブロック</t>
  </si>
  <si>
    <t>Ｃブロック</t>
  </si>
  <si>
    <t>決勝トーナメント</t>
  </si>
  <si>
    <t>勝ち</t>
  </si>
  <si>
    <t>負け</t>
  </si>
  <si>
    <t>引分</t>
  </si>
  <si>
    <t>合計</t>
  </si>
  <si>
    <t>得点</t>
  </si>
  <si>
    <t>失点</t>
  </si>
  <si>
    <t>点差</t>
  </si>
  <si>
    <t>勝点</t>
  </si>
  <si>
    <t>負点</t>
  </si>
  <si>
    <t>引分点</t>
  </si>
  <si>
    <t>2点</t>
  </si>
  <si>
    <t>0点</t>
  </si>
  <si>
    <t>1点</t>
  </si>
  <si>
    <t>チーム名</t>
  </si>
  <si>
    <t>勝ち点</t>
  </si>
  <si>
    <t>試合数</t>
  </si>
  <si>
    <t>勝ち点一位</t>
  </si>
  <si>
    <t>勝ち点二位</t>
  </si>
  <si>
    <t>勝ち点二位</t>
  </si>
  <si>
    <t>勝ち点一位</t>
  </si>
  <si>
    <t>勝ち点二位</t>
  </si>
  <si>
    <t>勝ち点一位</t>
  </si>
  <si>
    <t>ブロック内試合消化率</t>
  </si>
  <si>
    <t>Dブロック</t>
  </si>
  <si>
    <t>順位</t>
  </si>
  <si>
    <t>チーム名</t>
  </si>
  <si>
    <t>勝点</t>
  </si>
  <si>
    <t>勝利数</t>
  </si>
  <si>
    <t>勝ち</t>
  </si>
  <si>
    <t>試合</t>
  </si>
  <si>
    <t>試合数</t>
  </si>
  <si>
    <t>残試合</t>
  </si>
  <si>
    <t>Ｃ戦　　ブロック別成績</t>
  </si>
  <si>
    <t>Ｂ戦　　ブロック別成績</t>
  </si>
  <si>
    <t>Ａ戦　　ブロック別成績</t>
  </si>
  <si>
    <t>クラス別消化率</t>
  </si>
  <si>
    <t>試合数</t>
  </si>
  <si>
    <t>消化率</t>
  </si>
  <si>
    <t>Ａクラス</t>
  </si>
  <si>
    <t>Ｂクラス</t>
  </si>
  <si>
    <t>Ｃクラス</t>
  </si>
  <si>
    <t>全体消化率</t>
  </si>
  <si>
    <t>以上</t>
  </si>
  <si>
    <t>現在</t>
  </si>
  <si>
    <t>Ａブロック</t>
  </si>
  <si>
    <t>Ｄブロック</t>
  </si>
  <si>
    <t>現在</t>
  </si>
  <si>
    <t>日</t>
  </si>
  <si>
    <t>試合可能日あと</t>
  </si>
  <si>
    <t>試合消化必要ペース</t>
  </si>
  <si>
    <t>必要消化ペース</t>
  </si>
  <si>
    <t>Ｃブロック</t>
  </si>
  <si>
    <t>Ｂブロック</t>
  </si>
  <si>
    <t>第1位</t>
  </si>
  <si>
    <t>日時</t>
  </si>
  <si>
    <t>場　　　　所</t>
  </si>
  <si>
    <t>ビクトリー出席者</t>
  </si>
  <si>
    <t>持参品</t>
  </si>
  <si>
    <t>決勝</t>
  </si>
  <si>
    <t>小金原ビクトリー</t>
  </si>
  <si>
    <t>高塚新田ラークス</t>
  </si>
  <si>
    <t>布佐スパイダース</t>
  </si>
  <si>
    <t>野菊野ファイターズ</t>
  </si>
  <si>
    <t>牧の原ジュニアーズ</t>
  </si>
  <si>
    <t>セントラルパークス</t>
  </si>
  <si>
    <t>リトルベアーズ</t>
  </si>
  <si>
    <t>根木内ヤングスターズ</t>
  </si>
  <si>
    <t>長崎ＦＬＢ</t>
  </si>
  <si>
    <t>トライスター</t>
  </si>
  <si>
    <t>八柱サンジュニアーズ</t>
  </si>
  <si>
    <t>吉川ドリームズ</t>
  </si>
  <si>
    <t>五香メッツ</t>
  </si>
  <si>
    <t>酒井根東グリーンズ</t>
  </si>
  <si>
    <t>前崎クラブ</t>
  </si>
  <si>
    <t>八木南クラブ</t>
  </si>
  <si>
    <t>柏ヤンガーズ</t>
  </si>
  <si>
    <t>大橋みどりファイターズ</t>
  </si>
  <si>
    <t>矢切コンドルス</t>
  </si>
  <si>
    <t>ありんこアントス</t>
  </si>
  <si>
    <t xml:space="preserve">松戸KSカージナルス
</t>
  </si>
  <si>
    <t>松戸スラッガーズ</t>
  </si>
  <si>
    <t>光ヶ丘シャークス</t>
  </si>
  <si>
    <t>柏ドリームス</t>
  </si>
  <si>
    <t>木刈ファイターズ</t>
  </si>
  <si>
    <t>Cブロック</t>
  </si>
  <si>
    <t>七次台ジャガース</t>
  </si>
  <si>
    <t>双葉</t>
  </si>
  <si>
    <t>リトルイーグルス</t>
  </si>
  <si>
    <t>リトルキング</t>
  </si>
  <si>
    <t>高柳サンダース</t>
  </si>
  <si>
    <t>増尾レッドスターズ</t>
  </si>
  <si>
    <t>柏南・新柏ツィンズ</t>
  </si>
  <si>
    <t>常盤平ボーイズ</t>
  </si>
  <si>
    <t>スーパーフェニックス</t>
  </si>
  <si>
    <t>大橋みどりファイターズA</t>
  </si>
  <si>
    <t>セントラルパークスA</t>
  </si>
  <si>
    <t>矢切コンドルス・リトルベアーズ</t>
  </si>
  <si>
    <t>スーパーフェニックスＪｒ</t>
  </si>
  <si>
    <t>七次台ジャガーズ</t>
  </si>
  <si>
    <t>牧の原キングス</t>
  </si>
  <si>
    <t>常盤平ボーイズＧ</t>
  </si>
  <si>
    <t>2024/2/18
14：00</t>
  </si>
  <si>
    <t>2024/2/23
14：00</t>
  </si>
  <si>
    <t>二十世紀公園多目的広場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</si>
</sst>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E+00"/>
    <numFmt numFmtId="178" formatCode="[&lt;=999]000;000\-00"/>
    <numFmt numFmtId="179" formatCode="[&lt;=999]000;[&lt;=99999]000\-00;000\-0000"/>
    <numFmt numFmtId="180" formatCode="\ &quot;-&quot;"/>
    <numFmt numFmtId="181" formatCode="_ * #,##0_ ;_ * \-#,##0_ ;_ * &quot;-&quot;_ "/>
    <numFmt numFmtId="182" formatCode="_ * #0_ ;_ * \-#0_ ;_ * &quot;-&quot;_ "/>
    <numFmt numFmtId="183" formatCode="_ * #,##0_ ;_ * \-#,##0_ ;_ * &quot;&quot;_ ;_ @_ "/>
    <numFmt numFmtId="184" formatCode="_ * #,##0.0_ ;_ * \-#,##0.0_ ;_ * &quot;&quot;_ ;_ @_ "/>
    <numFmt numFmtId="185" formatCode="_ * #,##0.00_ ;_ * \-#,##0.00_ ;_ * &quot;&quot;_ ;_ @_ "/>
    <numFmt numFmtId="186" formatCode="_ * #,##0.000_ ;_ * \-#,##0.000_ ;_ * &quot;&quot;_ ;_ @_ "/>
    <numFmt numFmtId="187" formatCode="m&quot;月&quot;d&quot;日&quot;;@"/>
    <numFmt numFmtId="188" formatCode="m/d;@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[$]ggge&quot;年&quot;m&quot;月&quot;d&quot;日&quot;;@"/>
    <numFmt numFmtId="194" formatCode="[$-411]gge&quot;年&quot;m&quot;月&quot;d&quot;日&quot;;@"/>
    <numFmt numFmtId="195" formatCode="[$]gge&quot;年&quot;m&quot;月&quot;d&quot;日&quot;;@"/>
    <numFmt numFmtId="196" formatCode="[$]ggge&quot;年&quot;m&quot;月&quot;d&quot;日&quot;;@"/>
    <numFmt numFmtId="197" formatCode="[$]gge&quot;年&quot;m&quot;月&quot;d&quot;日&quot;;@"/>
  </numFmts>
  <fonts count="53">
    <font>
      <sz val="11"/>
      <name val="ＭＳ Ｐゴシック"/>
      <family val="3"/>
    </font>
    <font>
      <sz val="11"/>
      <name val="Arial"/>
      <family val="2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明朝"/>
      <family val="1"/>
    </font>
    <font>
      <sz val="9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b/>
      <sz val="8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b/>
      <sz val="11"/>
      <color indexed="10"/>
      <name val="ＭＳ Ｐゴシック"/>
      <family val="3"/>
    </font>
    <font>
      <sz val="9"/>
      <color indexed="8"/>
      <name val="ＭＳ Ｐゴシック"/>
      <family val="3"/>
    </font>
    <font>
      <b/>
      <sz val="9"/>
      <name val="ＭＳ Ｐゴシック"/>
      <family val="3"/>
    </font>
    <font>
      <b/>
      <sz val="9"/>
      <name val="MS P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0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theme="1"/>
      </bottom>
    </border>
    <border>
      <left>
        <color indexed="63"/>
      </left>
      <right style="thin">
        <color theme="1"/>
      </right>
      <top>
        <color indexed="63"/>
      </top>
      <bottom style="thin">
        <color theme="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theme="1"/>
      </left>
      <right>
        <color indexed="63"/>
      </right>
      <top style="thin">
        <color indexed="8"/>
      </top>
      <bottom>
        <color indexed="63"/>
      </bottom>
    </border>
    <border>
      <left style="thin">
        <color theme="1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theme="1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rgb="FFFF0000"/>
      </bottom>
    </border>
    <border>
      <left>
        <color indexed="63"/>
      </left>
      <right style="medium">
        <color rgb="FFFF0000"/>
      </right>
      <top>
        <color indexed="63"/>
      </top>
      <bottom style="medium">
        <color rgb="FFFF0000"/>
      </bottom>
    </border>
    <border>
      <left style="medium">
        <color rgb="FFFF0000"/>
      </left>
      <right>
        <color indexed="63"/>
      </right>
      <top style="medium">
        <color rgb="FFFF0000"/>
      </top>
      <bottom>
        <color indexed="63"/>
      </bottom>
    </border>
    <border>
      <left style="medium">
        <color rgb="FFFF0000"/>
      </left>
      <right>
        <color indexed="63"/>
      </right>
      <top>
        <color indexed="63"/>
      </top>
      <bottom style="thin"/>
    </border>
    <border>
      <left style="medium">
        <color rgb="FFFF0000"/>
      </left>
      <right>
        <color indexed="63"/>
      </right>
      <top style="thin">
        <color theme="1"/>
      </top>
      <bottom style="medium">
        <color rgb="FFFF0000"/>
      </bottom>
    </border>
    <border>
      <left>
        <color indexed="63"/>
      </left>
      <right>
        <color indexed="63"/>
      </right>
      <top style="thin">
        <color theme="1"/>
      </top>
      <bottom>
        <color indexed="63"/>
      </bottom>
    </border>
    <border>
      <left>
        <color indexed="63"/>
      </left>
      <right style="medium">
        <color rgb="FFFF0000"/>
      </right>
      <top style="medium">
        <color rgb="FFFF0000"/>
      </top>
      <bottom>
        <color indexed="63"/>
      </bottom>
    </border>
    <border>
      <left>
        <color indexed="63"/>
      </left>
      <right style="medium">
        <color rgb="FFFF0000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medium">
        <color rgb="FFFF0000"/>
      </bottom>
    </border>
    <border>
      <left>
        <color indexed="63"/>
      </left>
      <right style="medium">
        <color rgb="FFFF0000"/>
      </right>
      <top style="thin">
        <color indexed="8"/>
      </top>
      <bottom style="medium">
        <color rgb="FFFF0000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>
        <color rgb="FFFF0000"/>
      </left>
      <right>
        <color indexed="63"/>
      </right>
      <top>
        <color indexed="63"/>
      </top>
      <bottom style="medium">
        <color rgb="FFFF0000"/>
      </bottom>
    </border>
    <border>
      <left style="medium">
        <color rgb="FFFF0000"/>
      </left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36" fillId="0" borderId="0">
      <alignment vertical="center"/>
      <protection/>
    </xf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194">
    <xf numFmtId="0" fontId="0" fillId="0" borderId="0" xfId="0" applyAlignment="1">
      <alignment/>
    </xf>
    <xf numFmtId="0" fontId="0" fillId="33" borderId="0" xfId="0" applyFill="1" applyAlignment="1">
      <alignment vertical="center" shrinkToFit="1"/>
    </xf>
    <xf numFmtId="0" fontId="0" fillId="33" borderId="0" xfId="0" applyNumberFormat="1" applyFill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0" fillId="33" borderId="0" xfId="0" applyFont="1" applyFill="1" applyAlignment="1">
      <alignment vertical="center" shrinkToFit="1"/>
    </xf>
    <xf numFmtId="0" fontId="0" fillId="33" borderId="10" xfId="0" applyFont="1" applyFill="1" applyBorder="1" applyAlignment="1">
      <alignment vertical="center" shrinkToFit="1"/>
    </xf>
    <xf numFmtId="0" fontId="0" fillId="33" borderId="0" xfId="0" applyFill="1" applyBorder="1" applyAlignment="1">
      <alignment vertical="center" shrinkToFit="1"/>
    </xf>
    <xf numFmtId="0" fontId="0" fillId="33" borderId="0" xfId="0" applyFont="1" applyFill="1" applyBorder="1" applyAlignment="1">
      <alignment vertical="center" shrinkToFit="1"/>
    </xf>
    <xf numFmtId="0" fontId="2" fillId="33" borderId="0" xfId="0" applyNumberFormat="1" applyFont="1" applyFill="1" applyBorder="1" applyAlignment="1">
      <alignment horizontal="center" vertical="center" shrinkToFit="1"/>
    </xf>
    <xf numFmtId="0" fontId="0" fillId="33" borderId="0" xfId="0" applyFill="1" applyAlignment="1">
      <alignment horizontal="center" vertical="center" shrinkToFit="1"/>
    </xf>
    <xf numFmtId="0" fontId="0" fillId="33" borderId="0" xfId="0" applyFill="1" applyAlignment="1">
      <alignment horizontal="right" vertical="center"/>
    </xf>
    <xf numFmtId="0" fontId="0" fillId="33" borderId="0" xfId="0" applyFill="1" applyBorder="1" applyAlignment="1">
      <alignment vertical="center"/>
    </xf>
    <xf numFmtId="0" fontId="0" fillId="33" borderId="0" xfId="0" applyFill="1" applyAlignment="1">
      <alignment horizontal="left" vertical="center"/>
    </xf>
    <xf numFmtId="0" fontId="0" fillId="33" borderId="0" xfId="0" applyFill="1" applyBorder="1" applyAlignment="1">
      <alignment horizontal="left" vertical="center"/>
    </xf>
    <xf numFmtId="0" fontId="0" fillId="33" borderId="0" xfId="0" applyFill="1" applyBorder="1" applyAlignment="1">
      <alignment horizontal="left" vertical="center" shrinkToFit="1"/>
    </xf>
    <xf numFmtId="0" fontId="0" fillId="33" borderId="0" xfId="0" applyFill="1" applyBorder="1" applyAlignment="1">
      <alignment horizontal="center" vertical="center"/>
    </xf>
    <xf numFmtId="0" fontId="0" fillId="33" borderId="0" xfId="0" applyFill="1" applyBorder="1" applyAlignment="1">
      <alignment horizontal="right" vertical="center"/>
    </xf>
    <xf numFmtId="0" fontId="6" fillId="33" borderId="0" xfId="0" applyFont="1" applyFill="1" applyBorder="1" applyAlignment="1">
      <alignment horizontal="center" vertical="top" textRotation="255"/>
    </xf>
    <xf numFmtId="0" fontId="0" fillId="33" borderId="0" xfId="0" applyFill="1" applyBorder="1" applyAlignment="1">
      <alignment horizontal="center" vertical="top" textRotation="255" wrapText="1"/>
    </xf>
    <xf numFmtId="0" fontId="0" fillId="0" borderId="0" xfId="0" applyNumberFormat="1" applyAlignment="1">
      <alignment horizontal="center" vertical="center" shrinkToFit="1"/>
    </xf>
    <xf numFmtId="0" fontId="6" fillId="33" borderId="0" xfId="0" applyFont="1" applyFill="1" applyAlignment="1">
      <alignment horizontal="center" vertical="top"/>
    </xf>
    <xf numFmtId="0" fontId="0" fillId="33" borderId="0" xfId="0" applyNumberFormat="1" applyFill="1" applyBorder="1" applyAlignment="1">
      <alignment horizontal="center" vertical="center" shrinkToFit="1"/>
    </xf>
    <xf numFmtId="0" fontId="8" fillId="33" borderId="0" xfId="0" applyFont="1" applyFill="1" applyAlignment="1">
      <alignment horizontal="center" vertical="center"/>
    </xf>
    <xf numFmtId="0" fontId="8" fillId="33" borderId="0" xfId="0" applyFont="1" applyFill="1" applyBorder="1" applyAlignment="1">
      <alignment horizontal="center" vertical="center" textRotation="255"/>
    </xf>
    <xf numFmtId="0" fontId="8" fillId="33" borderId="0" xfId="0" applyFont="1" applyFill="1" applyBorder="1" applyAlignment="1">
      <alignment horizontal="center" vertical="center"/>
    </xf>
    <xf numFmtId="0" fontId="0" fillId="33" borderId="10" xfId="0" applyFill="1" applyBorder="1" applyAlignment="1">
      <alignment vertical="center" shrinkToFit="1"/>
    </xf>
    <xf numFmtId="0" fontId="0" fillId="34" borderId="10" xfId="0" applyFill="1" applyBorder="1" applyAlignment="1">
      <alignment vertical="center" shrinkToFit="1"/>
    </xf>
    <xf numFmtId="0" fontId="0" fillId="35" borderId="10" xfId="0" applyFill="1" applyBorder="1" applyAlignment="1">
      <alignment vertical="center" shrinkToFit="1"/>
    </xf>
    <xf numFmtId="0" fontId="0" fillId="36" borderId="10" xfId="0" applyFill="1" applyBorder="1" applyAlignment="1">
      <alignment vertical="center" shrinkToFit="1"/>
    </xf>
    <xf numFmtId="0" fontId="0" fillId="37" borderId="10" xfId="0" applyFill="1" applyBorder="1" applyAlignment="1">
      <alignment vertical="center" shrinkToFit="1"/>
    </xf>
    <xf numFmtId="0" fontId="0" fillId="33" borderId="10" xfId="0" applyFont="1" applyFill="1" applyBorder="1" applyAlignment="1">
      <alignment vertical="center" shrinkToFit="1"/>
    </xf>
    <xf numFmtId="0" fontId="0" fillId="34" borderId="10" xfId="0" applyFont="1" applyFill="1" applyBorder="1" applyAlignment="1">
      <alignment vertical="center" shrinkToFit="1"/>
    </xf>
    <xf numFmtId="0" fontId="0" fillId="35" borderId="10" xfId="0" applyFont="1" applyFill="1" applyBorder="1" applyAlignment="1">
      <alignment vertical="center" shrinkToFit="1"/>
    </xf>
    <xf numFmtId="0" fontId="0" fillId="36" borderId="10" xfId="0" applyFont="1" applyFill="1" applyBorder="1" applyAlignment="1">
      <alignment vertical="center" shrinkToFit="1"/>
    </xf>
    <xf numFmtId="0" fontId="0" fillId="37" borderId="10" xfId="0" applyFont="1" applyFill="1" applyBorder="1" applyAlignment="1">
      <alignment vertical="center" shrinkToFit="1"/>
    </xf>
    <xf numFmtId="0" fontId="0" fillId="33" borderId="10" xfId="0" applyFont="1" applyFill="1" applyBorder="1" applyAlignment="1">
      <alignment vertical="center" shrinkToFit="1"/>
    </xf>
    <xf numFmtId="0" fontId="2" fillId="33" borderId="11" xfId="0" applyNumberFormat="1" applyFont="1" applyFill="1" applyBorder="1" applyAlignment="1">
      <alignment vertical="center" shrinkToFit="1"/>
    </xf>
    <xf numFmtId="0" fontId="2" fillId="33" borderId="12" xfId="0" applyNumberFormat="1" applyFont="1" applyFill="1" applyBorder="1" applyAlignment="1">
      <alignment vertical="center" shrinkToFit="1"/>
    </xf>
    <xf numFmtId="0" fontId="2" fillId="33" borderId="13" xfId="0" applyNumberFormat="1" applyFont="1" applyFill="1" applyBorder="1" applyAlignment="1">
      <alignment vertical="center" shrinkToFit="1"/>
    </xf>
    <xf numFmtId="0" fontId="0" fillId="0" borderId="0" xfId="0" applyFont="1" applyAlignment="1">
      <alignment vertical="center" shrinkToFit="1"/>
    </xf>
    <xf numFmtId="0" fontId="0" fillId="33" borderId="13" xfId="0" applyFont="1" applyFill="1" applyBorder="1" applyAlignment="1">
      <alignment vertical="center" shrinkToFit="1"/>
    </xf>
    <xf numFmtId="0" fontId="0" fillId="0" borderId="0" xfId="0" applyAlignment="1">
      <alignment vertical="center"/>
    </xf>
    <xf numFmtId="183" fontId="0" fillId="0" borderId="10" xfId="0" applyNumberFormat="1" applyFill="1" applyBorder="1" applyAlignment="1">
      <alignment/>
    </xf>
    <xf numFmtId="183" fontId="2" fillId="0" borderId="10" xfId="0" applyNumberFormat="1" applyFont="1" applyFill="1" applyBorder="1" applyAlignment="1">
      <alignment/>
    </xf>
    <xf numFmtId="0" fontId="9" fillId="0" borderId="10" xfId="0" applyFont="1" applyFill="1" applyBorder="1" applyAlignment="1">
      <alignment/>
    </xf>
    <xf numFmtId="183" fontId="10" fillId="0" borderId="10" xfId="0" applyNumberFormat="1" applyFont="1" applyFill="1" applyBorder="1" applyAlignment="1">
      <alignment/>
    </xf>
    <xf numFmtId="183" fontId="0" fillId="0" borderId="14" xfId="0" applyNumberFormat="1" applyFill="1" applyBorder="1" applyAlignment="1">
      <alignment/>
    </xf>
    <xf numFmtId="0" fontId="9" fillId="0" borderId="14" xfId="0" applyFont="1" applyFill="1" applyBorder="1" applyAlignment="1">
      <alignment/>
    </xf>
    <xf numFmtId="183" fontId="2" fillId="0" borderId="14" xfId="0" applyNumberFormat="1" applyFont="1" applyFill="1" applyBorder="1" applyAlignment="1">
      <alignment/>
    </xf>
    <xf numFmtId="183" fontId="10" fillId="0" borderId="14" xfId="0" applyNumberFormat="1" applyFont="1" applyFill="1" applyBorder="1" applyAlignment="1">
      <alignment/>
    </xf>
    <xf numFmtId="0" fontId="0" fillId="0" borderId="0" xfId="0" applyBorder="1" applyAlignment="1">
      <alignment vertical="center" shrinkToFit="1"/>
    </xf>
    <xf numFmtId="0" fontId="9" fillId="33" borderId="0" xfId="0" applyFont="1" applyFill="1" applyAlignment="1">
      <alignment vertical="center" shrinkToFit="1"/>
    </xf>
    <xf numFmtId="0" fontId="9" fillId="0" borderId="0" xfId="0" applyFont="1" applyAlignment="1">
      <alignment vertical="center" shrinkToFit="1"/>
    </xf>
    <xf numFmtId="183" fontId="0" fillId="0" borderId="0" xfId="0" applyNumberFormat="1" applyAlignment="1">
      <alignment vertical="center" shrinkToFit="1"/>
    </xf>
    <xf numFmtId="0" fontId="11" fillId="33" borderId="0" xfId="0" applyFont="1" applyFill="1" applyAlignment="1" quotePrefix="1">
      <alignment horizontal="left" vertical="center"/>
    </xf>
    <xf numFmtId="183" fontId="10" fillId="0" borderId="0" xfId="0" applyNumberFormat="1" applyFont="1" applyFill="1" applyBorder="1" applyAlignment="1">
      <alignment/>
    </xf>
    <xf numFmtId="0" fontId="12" fillId="0" borderId="0" xfId="0" applyFont="1" applyAlignment="1">
      <alignment/>
    </xf>
    <xf numFmtId="0" fontId="12" fillId="0" borderId="10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6" fillId="0" borderId="0" xfId="0" applyFont="1" applyAlignment="1">
      <alignment/>
    </xf>
    <xf numFmtId="0" fontId="0" fillId="0" borderId="0" xfId="0" applyAlignment="1">
      <alignment horizontal="right"/>
    </xf>
    <xf numFmtId="183" fontId="0" fillId="0" borderId="0" xfId="0" applyNumberFormat="1" applyAlignment="1">
      <alignment vertical="center"/>
    </xf>
    <xf numFmtId="9" fontId="0" fillId="0" borderId="0" xfId="42" applyFont="1" applyAlignment="1">
      <alignment/>
    </xf>
    <xf numFmtId="0" fontId="6" fillId="33" borderId="0" xfId="0" applyFont="1" applyFill="1" applyBorder="1" applyAlignment="1">
      <alignment horizontal="left" vertical="top"/>
    </xf>
    <xf numFmtId="0" fontId="6" fillId="33" borderId="0" xfId="0" applyFont="1" applyFill="1" applyBorder="1" applyAlignment="1">
      <alignment horizontal="right" vertical="top"/>
    </xf>
    <xf numFmtId="0" fontId="2" fillId="33" borderId="0" xfId="0" applyFont="1" applyFill="1" applyAlignment="1" quotePrefix="1">
      <alignment horizontal="left" vertical="center" shrinkToFit="1"/>
    </xf>
    <xf numFmtId="0" fontId="5" fillId="0" borderId="10" xfId="0" applyFont="1" applyBorder="1" applyAlignment="1">
      <alignment horizontal="left" vertical="center" shrinkToFit="1"/>
    </xf>
    <xf numFmtId="0" fontId="0" fillId="0" borderId="10" xfId="0" applyBorder="1" applyAlignment="1">
      <alignment shrinkToFit="1"/>
    </xf>
    <xf numFmtId="14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2" fillId="0" borderId="0" xfId="0" applyFont="1" applyAlignment="1">
      <alignment/>
    </xf>
    <xf numFmtId="0" fontId="9" fillId="33" borderId="0" xfId="0" applyFont="1" applyFill="1" applyAlignment="1" quotePrefix="1">
      <alignment horizontal="left" vertical="center"/>
    </xf>
    <xf numFmtId="0" fontId="9" fillId="0" borderId="0" xfId="0" applyFont="1" applyAlignment="1">
      <alignment/>
    </xf>
    <xf numFmtId="0" fontId="15" fillId="33" borderId="12" xfId="0" applyNumberFormat="1" applyFont="1" applyFill="1" applyBorder="1" applyAlignment="1">
      <alignment vertical="center" shrinkToFit="1"/>
    </xf>
    <xf numFmtId="0" fontId="0" fillId="33" borderId="0" xfId="0" applyFill="1" applyBorder="1" applyAlignment="1">
      <alignment shrinkToFit="1"/>
    </xf>
    <xf numFmtId="0" fontId="6" fillId="33" borderId="15" xfId="0" applyFont="1" applyFill="1" applyBorder="1" applyAlignment="1">
      <alignment horizontal="center" vertical="top" textRotation="255" wrapText="1"/>
    </xf>
    <xf numFmtId="0" fontId="0" fillId="33" borderId="0" xfId="0" applyFont="1" applyFill="1" applyAlignment="1">
      <alignment vertical="center" shrinkToFit="1"/>
    </xf>
    <xf numFmtId="0" fontId="5" fillId="0" borderId="16" xfId="0" applyFont="1" applyBorder="1" applyAlignment="1">
      <alignment horizontal="left" vertical="center" shrinkToFit="1"/>
    </xf>
    <xf numFmtId="0" fontId="6" fillId="33" borderId="0" xfId="0" applyFont="1" applyFill="1" applyBorder="1" applyAlignment="1">
      <alignment horizontal="left" vertical="top" shrinkToFit="1"/>
    </xf>
    <xf numFmtId="0" fontId="6" fillId="33" borderId="0" xfId="0" applyFont="1" applyFill="1" applyBorder="1" applyAlignment="1">
      <alignment horizontal="right" vertical="center"/>
    </xf>
    <xf numFmtId="0" fontId="0" fillId="33" borderId="14" xfId="0" applyFill="1" applyBorder="1" applyAlignment="1">
      <alignment vertical="center" shrinkToFit="1"/>
    </xf>
    <xf numFmtId="0" fontId="0" fillId="33" borderId="17" xfId="0" applyFont="1" applyFill="1" applyBorder="1" applyAlignment="1">
      <alignment vertical="center" shrinkToFit="1"/>
    </xf>
    <xf numFmtId="0" fontId="36" fillId="0" borderId="0" xfId="61">
      <alignment vertical="center"/>
      <protection/>
    </xf>
    <xf numFmtId="0" fontId="36" fillId="0" borderId="10" xfId="61" applyBorder="1">
      <alignment vertical="center"/>
      <protection/>
    </xf>
    <xf numFmtId="0" fontId="36" fillId="0" borderId="10" xfId="61" applyFill="1" applyBorder="1">
      <alignment vertical="center"/>
      <protection/>
    </xf>
    <xf numFmtId="56" fontId="36" fillId="0" borderId="0" xfId="61" applyNumberFormat="1">
      <alignment vertical="center"/>
      <protection/>
    </xf>
    <xf numFmtId="188" fontId="6" fillId="33" borderId="0" xfId="0" applyNumberFormat="1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right" vertical="top" textRotation="255" wrapText="1"/>
    </xf>
    <xf numFmtId="56" fontId="0" fillId="33" borderId="0" xfId="0" applyNumberFormat="1" applyFill="1" applyBorder="1" applyAlignment="1">
      <alignment horizontal="right" vertical="center"/>
    </xf>
    <xf numFmtId="49" fontId="0" fillId="33" borderId="0" xfId="0" applyNumberFormat="1" applyFill="1" applyBorder="1" applyAlignment="1">
      <alignment horizontal="right" vertical="center"/>
    </xf>
    <xf numFmtId="0" fontId="0" fillId="33" borderId="18" xfId="0" applyFill="1" applyBorder="1" applyAlignment="1">
      <alignment horizontal="center" vertical="center" shrinkToFit="1"/>
    </xf>
    <xf numFmtId="49" fontId="0" fillId="33" borderId="0" xfId="0" applyNumberFormat="1" applyFill="1" applyBorder="1" applyAlignment="1">
      <alignment horizontal="left" vertical="top"/>
    </xf>
    <xf numFmtId="0" fontId="6" fillId="33" borderId="0" xfId="0" applyFont="1" applyFill="1" applyBorder="1" applyAlignment="1">
      <alignment horizontal="center" vertical="top" textRotation="255" wrapText="1"/>
    </xf>
    <xf numFmtId="0" fontId="0" fillId="33" borderId="0" xfId="0" applyFill="1" applyBorder="1" applyAlignment="1">
      <alignment horizontal="right" vertical="top"/>
    </xf>
    <xf numFmtId="0" fontId="2" fillId="33" borderId="0" xfId="0" applyFont="1" applyFill="1" applyBorder="1" applyAlignment="1" quotePrefix="1">
      <alignment horizontal="left" vertical="center" shrinkToFit="1"/>
    </xf>
    <xf numFmtId="0" fontId="6" fillId="33" borderId="0" xfId="0" applyFont="1" applyFill="1" applyBorder="1" applyAlignment="1">
      <alignment horizontal="center" vertical="center" textRotation="255"/>
    </xf>
    <xf numFmtId="0" fontId="6" fillId="33" borderId="0" xfId="0" applyFont="1" applyFill="1" applyBorder="1" applyAlignment="1">
      <alignment vertical="top"/>
    </xf>
    <xf numFmtId="0" fontId="6" fillId="33" borderId="0" xfId="0" applyFont="1" applyFill="1" applyBorder="1" applyAlignment="1">
      <alignment horizontal="left" vertical="top" textRotation="255"/>
    </xf>
    <xf numFmtId="0" fontId="6" fillId="33" borderId="0" xfId="0" applyFont="1" applyFill="1" applyBorder="1" applyAlignment="1">
      <alignment horizontal="center" vertical="top"/>
    </xf>
    <xf numFmtId="178" fontId="7" fillId="33" borderId="0" xfId="0" applyNumberFormat="1" applyFont="1" applyFill="1" applyBorder="1" applyAlignment="1">
      <alignment horizontal="center" vertical="center" textRotation="255" shrinkToFit="1"/>
    </xf>
    <xf numFmtId="0" fontId="0" fillId="33" borderId="19" xfId="0" applyFont="1" applyFill="1" applyBorder="1" applyAlignment="1">
      <alignment vertical="center" shrinkToFit="1"/>
    </xf>
    <xf numFmtId="0" fontId="0" fillId="33" borderId="0" xfId="0" applyFill="1" applyBorder="1" applyAlignment="1">
      <alignment horizontal="center" vertical="center" shrinkToFit="1"/>
    </xf>
    <xf numFmtId="0" fontId="12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/>
    </xf>
    <xf numFmtId="0" fontId="5" fillId="0" borderId="16" xfId="62" applyFont="1" applyBorder="1" applyAlignment="1">
      <alignment horizontal="left" vertical="center"/>
      <protection/>
    </xf>
    <xf numFmtId="0" fontId="5" fillId="0" borderId="16" xfId="62" applyFont="1" applyBorder="1" applyAlignment="1">
      <alignment horizontal="left" vertical="center" shrinkToFit="1"/>
      <protection/>
    </xf>
    <xf numFmtId="0" fontId="0" fillId="0" borderId="20" xfId="0" applyBorder="1" applyAlignment="1">
      <alignment vertical="center" shrinkToFit="1"/>
    </xf>
    <xf numFmtId="0" fontId="6" fillId="33" borderId="15" xfId="0" applyFont="1" applyFill="1" applyBorder="1" applyAlignment="1">
      <alignment horizontal="center" vertical="top" textRotation="255"/>
    </xf>
    <xf numFmtId="0" fontId="6" fillId="33" borderId="20" xfId="0" applyFont="1" applyFill="1" applyBorder="1" applyAlignment="1">
      <alignment horizontal="left" vertical="top"/>
    </xf>
    <xf numFmtId="0" fontId="0" fillId="33" borderId="21" xfId="0" applyFill="1" applyBorder="1" applyAlignment="1">
      <alignment vertical="center"/>
    </xf>
    <xf numFmtId="183" fontId="9" fillId="0" borderId="14" xfId="0" applyNumberFormat="1" applyFont="1" applyFill="1" applyBorder="1" applyAlignment="1">
      <alignment/>
    </xf>
    <xf numFmtId="0" fontId="6" fillId="33" borderId="15" xfId="0" applyFont="1" applyFill="1" applyBorder="1" applyAlignment="1">
      <alignment horizontal="right" vertical="top"/>
    </xf>
    <xf numFmtId="0" fontId="0" fillId="33" borderId="15" xfId="0" applyFill="1" applyBorder="1" applyAlignment="1">
      <alignment horizontal="center" vertical="center"/>
    </xf>
    <xf numFmtId="0" fontId="0" fillId="33" borderId="15" xfId="0" applyFill="1" applyBorder="1" applyAlignment="1">
      <alignment horizontal="right" vertical="center"/>
    </xf>
    <xf numFmtId="0" fontId="0" fillId="33" borderId="0" xfId="0" applyFont="1" applyFill="1" applyAlignment="1">
      <alignment vertical="center" shrinkToFit="1"/>
    </xf>
    <xf numFmtId="0" fontId="0" fillId="33" borderId="22" xfId="0" applyFill="1" applyBorder="1" applyAlignment="1">
      <alignment vertical="center" shrinkToFit="1"/>
    </xf>
    <xf numFmtId="0" fontId="0" fillId="33" borderId="23" xfId="0" applyFill="1" applyBorder="1" applyAlignment="1">
      <alignment vertical="center" shrinkToFit="1"/>
    </xf>
    <xf numFmtId="0" fontId="6" fillId="33" borderId="24" xfId="0" applyFont="1" applyFill="1" applyBorder="1" applyAlignment="1">
      <alignment horizontal="center" vertical="top" wrapText="1"/>
    </xf>
    <xf numFmtId="0" fontId="6" fillId="33" borderId="21" xfId="0" applyFont="1" applyFill="1" applyBorder="1" applyAlignment="1">
      <alignment horizontal="center" vertical="top" textRotation="255" wrapText="1"/>
    </xf>
    <xf numFmtId="0" fontId="6" fillId="33" borderId="25" xfId="0" applyFont="1" applyFill="1" applyBorder="1" applyAlignment="1">
      <alignment vertical="top"/>
    </xf>
    <xf numFmtId="0" fontId="6" fillId="33" borderId="26" xfId="0" applyFont="1" applyFill="1" applyBorder="1" applyAlignment="1">
      <alignment horizontal="right" vertical="top"/>
    </xf>
    <xf numFmtId="0" fontId="0" fillId="33" borderId="27" xfId="0" applyFill="1" applyBorder="1" applyAlignment="1">
      <alignment vertical="center"/>
    </xf>
    <xf numFmtId="0" fontId="0" fillId="33" borderId="15" xfId="0" applyFill="1" applyBorder="1" applyAlignment="1">
      <alignment horizontal="left" vertical="center"/>
    </xf>
    <xf numFmtId="0" fontId="6" fillId="33" borderId="28" xfId="0" applyFont="1" applyFill="1" applyBorder="1" applyAlignment="1">
      <alignment horizontal="right" vertical="top"/>
    </xf>
    <xf numFmtId="0" fontId="6" fillId="33" borderId="20" xfId="0" applyFont="1" applyFill="1" applyBorder="1" applyAlignment="1">
      <alignment horizontal="left" vertical="top" shrinkToFit="1"/>
    </xf>
    <xf numFmtId="0" fontId="0" fillId="33" borderId="21" xfId="0" applyFill="1" applyBorder="1" applyAlignment="1">
      <alignment vertical="center" shrinkToFit="1"/>
    </xf>
    <xf numFmtId="0" fontId="5" fillId="0" borderId="16" xfId="0" applyFont="1" applyBorder="1" applyAlignment="1">
      <alignment horizontal="left" vertical="center"/>
    </xf>
    <xf numFmtId="0" fontId="0" fillId="33" borderId="29" xfId="0" applyFill="1" applyBorder="1" applyAlignment="1">
      <alignment horizontal="right" vertical="center"/>
    </xf>
    <xf numFmtId="0" fontId="6" fillId="33" borderId="30" xfId="0" applyFont="1" applyFill="1" applyBorder="1" applyAlignment="1">
      <alignment horizontal="right" vertical="top"/>
    </xf>
    <xf numFmtId="0" fontId="6" fillId="33" borderId="31" xfId="0" applyFont="1" applyFill="1" applyBorder="1" applyAlignment="1">
      <alignment horizontal="center" vertical="top" wrapText="1"/>
    </xf>
    <xf numFmtId="0" fontId="6" fillId="33" borderId="32" xfId="0" applyFont="1" applyFill="1" applyBorder="1" applyAlignment="1">
      <alignment horizontal="center" vertical="top" textRotation="255" wrapText="1"/>
    </xf>
    <xf numFmtId="0" fontId="6" fillId="33" borderId="33" xfId="0" applyFont="1" applyFill="1" applyBorder="1" applyAlignment="1">
      <alignment horizontal="right" vertical="top"/>
    </xf>
    <xf numFmtId="0" fontId="0" fillId="33" borderId="15" xfId="0" applyFill="1" applyBorder="1" applyAlignment="1">
      <alignment vertical="center"/>
    </xf>
    <xf numFmtId="0" fontId="6" fillId="33" borderId="34" xfId="0" applyFont="1" applyFill="1" applyBorder="1" applyAlignment="1">
      <alignment horizontal="right" vertical="top"/>
    </xf>
    <xf numFmtId="0" fontId="6" fillId="33" borderId="35" xfId="0" applyFont="1" applyFill="1" applyBorder="1" applyAlignment="1">
      <alignment horizontal="center" vertical="top" textRotation="255"/>
    </xf>
    <xf numFmtId="0" fontId="6" fillId="33" borderId="36" xfId="0" applyFont="1" applyFill="1" applyBorder="1" applyAlignment="1">
      <alignment horizontal="center" vertical="top" textRotation="255"/>
    </xf>
    <xf numFmtId="0" fontId="6" fillId="33" borderId="15" xfId="0" applyFont="1" applyFill="1" applyBorder="1" applyAlignment="1">
      <alignment horizontal="left" vertical="top"/>
    </xf>
    <xf numFmtId="0" fontId="6" fillId="33" borderId="37" xfId="0" applyFont="1" applyFill="1" applyBorder="1" applyAlignment="1">
      <alignment vertical="top"/>
    </xf>
    <xf numFmtId="0" fontId="6" fillId="33" borderId="38" xfId="0" applyFont="1" applyFill="1" applyBorder="1" applyAlignment="1">
      <alignment vertical="top"/>
    </xf>
    <xf numFmtId="0" fontId="6" fillId="33" borderId="31" xfId="0" applyFont="1" applyFill="1" applyBorder="1" applyAlignment="1">
      <alignment horizontal="right" vertical="top"/>
    </xf>
    <xf numFmtId="0" fontId="0" fillId="33" borderId="32" xfId="0" applyFill="1" applyBorder="1" applyAlignment="1">
      <alignment vertical="center"/>
    </xf>
    <xf numFmtId="0" fontId="12" fillId="0" borderId="10" xfId="0" applyFont="1" applyBorder="1" applyAlignment="1">
      <alignment horizontal="left"/>
    </xf>
    <xf numFmtId="0" fontId="9" fillId="0" borderId="0" xfId="0" applyFont="1" applyAlignment="1">
      <alignment horizontal="center"/>
    </xf>
    <xf numFmtId="0" fontId="13" fillId="0" borderId="11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3" fillId="0" borderId="10" xfId="0" applyFont="1" applyBorder="1" applyAlignment="1">
      <alignment horizontal="left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9" fontId="2" fillId="0" borderId="0" xfId="42" applyFont="1" applyAlignment="1">
      <alignment horizontal="center"/>
    </xf>
    <xf numFmtId="0" fontId="0" fillId="0" borderId="0" xfId="0" applyAlignment="1" quotePrefix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Fill="1" applyBorder="1" applyAlignment="1">
      <alignment horizontal="center"/>
    </xf>
    <xf numFmtId="56" fontId="16" fillId="0" borderId="19" xfId="61" applyNumberFormat="1" applyFont="1" applyBorder="1" applyAlignment="1">
      <alignment horizontal="center" vertical="center" wrapText="1"/>
      <protection/>
    </xf>
    <xf numFmtId="0" fontId="16" fillId="0" borderId="39" xfId="61" applyFont="1" applyBorder="1" applyAlignment="1">
      <alignment horizontal="center" vertical="center" wrapText="1"/>
      <protection/>
    </xf>
    <xf numFmtId="0" fontId="36" fillId="0" borderId="19" xfId="61" applyBorder="1" applyAlignment="1">
      <alignment horizontal="left" vertical="center" wrapText="1"/>
      <protection/>
    </xf>
    <xf numFmtId="0" fontId="36" fillId="0" borderId="39" xfId="61" applyBorder="1" applyAlignment="1">
      <alignment horizontal="left" vertical="center" wrapText="1"/>
      <protection/>
    </xf>
    <xf numFmtId="0" fontId="36" fillId="0" borderId="19" xfId="61" applyBorder="1" applyAlignment="1">
      <alignment horizontal="center" vertical="center" wrapText="1"/>
      <protection/>
    </xf>
    <xf numFmtId="0" fontId="36" fillId="0" borderId="39" xfId="61" applyBorder="1" applyAlignment="1">
      <alignment horizontal="center" vertical="center" wrapText="1"/>
      <protection/>
    </xf>
    <xf numFmtId="0" fontId="9" fillId="33" borderId="15" xfId="0" applyFont="1" applyFill="1" applyBorder="1" applyAlignment="1" quotePrefix="1">
      <alignment horizontal="right" vertical="center"/>
    </xf>
    <xf numFmtId="0" fontId="0" fillId="33" borderId="10" xfId="0" applyFill="1" applyBorder="1" applyAlignment="1">
      <alignment horizontal="center" vertical="center" shrinkToFit="1"/>
    </xf>
    <xf numFmtId="183" fontId="9" fillId="33" borderId="15" xfId="0" applyNumberFormat="1" applyFont="1" applyFill="1" applyBorder="1" applyAlignment="1">
      <alignment horizontal="left" vertical="center"/>
    </xf>
    <xf numFmtId="0" fontId="0" fillId="33" borderId="11" xfId="0" applyFill="1" applyBorder="1" applyAlignment="1">
      <alignment horizontal="center" vertical="center" shrinkToFit="1"/>
    </xf>
    <xf numFmtId="0" fontId="0" fillId="33" borderId="12" xfId="0" applyFill="1" applyBorder="1" applyAlignment="1">
      <alignment horizontal="center" vertical="center" shrinkToFit="1"/>
    </xf>
    <xf numFmtId="0" fontId="0" fillId="33" borderId="13" xfId="0" applyFill="1" applyBorder="1" applyAlignment="1">
      <alignment horizontal="center" vertical="center" shrinkToFit="1"/>
    </xf>
    <xf numFmtId="9" fontId="6" fillId="33" borderId="0" xfId="42" applyFont="1" applyFill="1" applyBorder="1" applyAlignment="1">
      <alignment horizontal="center" vertical="center" shrinkToFit="1"/>
    </xf>
    <xf numFmtId="0" fontId="0" fillId="33" borderId="0" xfId="0" applyFill="1" applyAlignment="1">
      <alignment horizontal="center" vertical="center" shrinkToFit="1"/>
    </xf>
    <xf numFmtId="185" fontId="9" fillId="33" borderId="15" xfId="0" applyNumberFormat="1" applyFont="1" applyFill="1" applyBorder="1" applyAlignment="1">
      <alignment vertical="center" shrinkToFit="1"/>
    </xf>
    <xf numFmtId="188" fontId="6" fillId="33" borderId="0" xfId="0" applyNumberFormat="1" applyFont="1" applyFill="1" applyBorder="1" applyAlignment="1">
      <alignment horizontal="center" vertical="center"/>
    </xf>
    <xf numFmtId="183" fontId="9" fillId="33" borderId="15" xfId="0" applyNumberFormat="1" applyFont="1" applyFill="1" applyBorder="1" applyAlignment="1">
      <alignment vertical="center"/>
    </xf>
    <xf numFmtId="178" fontId="7" fillId="33" borderId="0" xfId="0" applyNumberFormat="1" applyFont="1" applyFill="1" applyBorder="1" applyAlignment="1">
      <alignment horizontal="center" vertical="center" textRotation="255" shrinkToFit="1"/>
    </xf>
    <xf numFmtId="0" fontId="7" fillId="33" borderId="24" xfId="0" applyFont="1" applyFill="1" applyBorder="1" applyAlignment="1">
      <alignment horizontal="center" vertical="center" textRotation="255" shrinkToFit="1"/>
    </xf>
    <xf numFmtId="0" fontId="7" fillId="33" borderId="40" xfId="0" applyFont="1" applyFill="1" applyBorder="1" applyAlignment="1">
      <alignment horizontal="center" vertical="center" textRotation="255" shrinkToFit="1"/>
    </xf>
    <xf numFmtId="0" fontId="7" fillId="33" borderId="20" xfId="0" applyFont="1" applyFill="1" applyBorder="1" applyAlignment="1">
      <alignment horizontal="center" vertical="center" textRotation="255" shrinkToFit="1"/>
    </xf>
    <xf numFmtId="0" fontId="7" fillId="33" borderId="41" xfId="0" applyFont="1" applyFill="1" applyBorder="1" applyAlignment="1">
      <alignment horizontal="center" vertical="center" textRotation="255" shrinkToFit="1"/>
    </xf>
    <xf numFmtId="0" fontId="7" fillId="33" borderId="21" xfId="0" applyFont="1" applyFill="1" applyBorder="1" applyAlignment="1">
      <alignment horizontal="center" vertical="center" textRotation="255" shrinkToFit="1"/>
    </xf>
    <xf numFmtId="0" fontId="7" fillId="33" borderId="42" xfId="0" applyFont="1" applyFill="1" applyBorder="1" applyAlignment="1">
      <alignment horizontal="center" vertical="center" textRotation="255" shrinkToFit="1"/>
    </xf>
    <xf numFmtId="56" fontId="0" fillId="33" borderId="0" xfId="0" applyNumberFormat="1" applyFill="1" applyAlignment="1">
      <alignment horizontal="center" vertical="center" shrinkToFit="1"/>
    </xf>
    <xf numFmtId="0" fontId="0" fillId="33" borderId="0" xfId="0" applyFill="1" applyBorder="1" applyAlignment="1">
      <alignment horizontal="center" vertical="center" shrinkToFit="1"/>
    </xf>
    <xf numFmtId="0" fontId="0" fillId="33" borderId="0" xfId="0" applyFill="1" applyBorder="1" applyAlignment="1" quotePrefix="1">
      <alignment horizontal="center" vertical="center" shrinkToFit="1"/>
    </xf>
    <xf numFmtId="9" fontId="6" fillId="33" borderId="15" xfId="42" applyFont="1" applyFill="1" applyBorder="1" applyAlignment="1">
      <alignment horizontal="center" vertical="center" shrinkToFit="1"/>
    </xf>
    <xf numFmtId="0" fontId="0" fillId="33" borderId="0" xfId="0" applyFill="1" applyBorder="1" applyAlignment="1">
      <alignment horizontal="center" vertical="top" textRotation="255" wrapText="1"/>
    </xf>
    <xf numFmtId="0" fontId="6" fillId="33" borderId="0" xfId="0" applyFont="1" applyFill="1" applyBorder="1" applyAlignment="1">
      <alignment horizontal="center" vertical="top" textRotation="255"/>
    </xf>
    <xf numFmtId="0" fontId="6" fillId="33" borderId="0" xfId="0" applyFont="1" applyFill="1" applyBorder="1" applyAlignment="1">
      <alignment horizontal="center" vertical="top" textRotation="255" wrapText="1"/>
    </xf>
    <xf numFmtId="0" fontId="2" fillId="33" borderId="0" xfId="0" applyFont="1" applyFill="1" applyAlignment="1">
      <alignment vertical="center" shrinkToFit="1"/>
    </xf>
    <xf numFmtId="183" fontId="9" fillId="33" borderId="0" xfId="0" applyNumberFormat="1" applyFont="1" applyFill="1" applyBorder="1" applyAlignment="1">
      <alignment horizontal="left" vertical="center"/>
    </xf>
    <xf numFmtId="0" fontId="6" fillId="33" borderId="43" xfId="0" applyFont="1" applyFill="1" applyBorder="1" applyAlignment="1">
      <alignment horizontal="left" vertical="top"/>
    </xf>
    <xf numFmtId="0" fontId="0" fillId="33" borderId="29" xfId="0" applyFill="1" applyBorder="1" applyAlignment="1">
      <alignment horizontal="left" vertical="center"/>
    </xf>
    <xf numFmtId="0" fontId="6" fillId="33" borderId="44" xfId="0" applyFont="1" applyFill="1" applyBorder="1" applyAlignment="1">
      <alignment horizontal="left" vertical="top" shrinkToFit="1"/>
    </xf>
    <xf numFmtId="0" fontId="0" fillId="33" borderId="32" xfId="0" applyFill="1" applyBorder="1" applyAlignment="1">
      <alignment vertical="center" shrinkToFi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2016近隣抽選0612" xfId="62"/>
    <cellStyle name="Followed Hyperlink" xfId="63"/>
    <cellStyle name="良い" xfId="64"/>
  </cellStyles>
  <dxfs count="261">
    <dxf>
      <font>
        <color indexed="51"/>
      </font>
    </dxf>
    <dxf>
      <font>
        <color indexed="12"/>
      </font>
    </dxf>
    <dxf>
      <font>
        <color indexed="10"/>
      </font>
    </dxf>
    <dxf>
      <font>
        <color indexed="51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51"/>
      </font>
    </dxf>
    <dxf>
      <font>
        <color indexed="12"/>
      </font>
    </dxf>
    <dxf>
      <font>
        <color indexed="10"/>
      </font>
    </dxf>
    <dxf>
      <font>
        <color indexed="51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51"/>
      </font>
    </dxf>
    <dxf>
      <font>
        <color indexed="12"/>
      </font>
    </dxf>
    <dxf>
      <font>
        <color indexed="10"/>
      </font>
    </dxf>
    <dxf>
      <font>
        <color indexed="51"/>
      </font>
    </dxf>
    <dxf>
      <font>
        <color indexed="12"/>
      </font>
    </dxf>
    <dxf>
      <font>
        <color indexed="10"/>
      </font>
    </dxf>
    <dxf>
      <font>
        <color indexed="51"/>
      </font>
    </dxf>
    <dxf>
      <font>
        <color indexed="12"/>
      </font>
    </dxf>
    <dxf>
      <font>
        <color indexed="10"/>
      </font>
    </dxf>
    <dxf>
      <font>
        <color indexed="51"/>
      </font>
    </dxf>
    <dxf>
      <font>
        <color indexed="12"/>
      </font>
    </dxf>
    <dxf>
      <font>
        <color indexed="10"/>
      </font>
    </dxf>
    <dxf>
      <font>
        <color indexed="51"/>
      </font>
    </dxf>
    <dxf>
      <font>
        <color indexed="12"/>
      </font>
    </dxf>
    <dxf>
      <font>
        <color indexed="10"/>
      </font>
    </dxf>
    <dxf>
      <font>
        <color indexed="51"/>
      </font>
    </dxf>
    <dxf>
      <font>
        <color indexed="12"/>
      </font>
    </dxf>
    <dxf>
      <font>
        <color indexed="10"/>
      </font>
    </dxf>
    <dxf>
      <font>
        <color indexed="51"/>
      </font>
    </dxf>
    <dxf>
      <font>
        <color indexed="12"/>
      </font>
    </dxf>
    <dxf>
      <font>
        <color indexed="10"/>
      </font>
    </dxf>
    <dxf>
      <font>
        <color indexed="51"/>
      </font>
    </dxf>
    <dxf>
      <font>
        <color indexed="12"/>
      </font>
    </dxf>
    <dxf>
      <font>
        <color indexed="10"/>
      </font>
    </dxf>
    <dxf>
      <font>
        <color indexed="51"/>
      </font>
    </dxf>
    <dxf>
      <font>
        <color indexed="12"/>
      </font>
    </dxf>
    <dxf>
      <font>
        <color indexed="10"/>
      </font>
    </dxf>
    <dxf>
      <font>
        <color indexed="51"/>
      </font>
    </dxf>
    <dxf>
      <font>
        <color indexed="12"/>
      </font>
    </dxf>
    <dxf>
      <font>
        <color indexed="10"/>
      </font>
    </dxf>
    <dxf>
      <font>
        <color indexed="51"/>
      </font>
    </dxf>
    <dxf>
      <font>
        <color indexed="12"/>
      </font>
    </dxf>
    <dxf>
      <font>
        <color indexed="10"/>
      </font>
    </dxf>
    <dxf>
      <font>
        <color indexed="51"/>
      </font>
    </dxf>
    <dxf>
      <font>
        <color indexed="12"/>
      </font>
    </dxf>
    <dxf>
      <font>
        <color indexed="10"/>
      </font>
    </dxf>
    <dxf>
      <font>
        <color indexed="51"/>
      </font>
    </dxf>
    <dxf>
      <font>
        <color indexed="12"/>
      </font>
    </dxf>
    <dxf>
      <font>
        <color indexed="10"/>
      </font>
    </dxf>
    <dxf>
      <font>
        <color indexed="51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51"/>
      </font>
    </dxf>
    <dxf>
      <font>
        <color indexed="12"/>
      </font>
    </dxf>
    <dxf>
      <font>
        <color indexed="10"/>
      </font>
    </dxf>
    <dxf>
      <font>
        <color indexed="51"/>
      </font>
    </dxf>
    <dxf>
      <font>
        <color indexed="12"/>
      </font>
    </dxf>
    <dxf>
      <font>
        <color indexed="10"/>
      </font>
    </dxf>
    <dxf>
      <font>
        <color indexed="51"/>
      </font>
    </dxf>
    <dxf>
      <font>
        <color indexed="12"/>
      </font>
    </dxf>
    <dxf>
      <font>
        <color indexed="10"/>
      </font>
    </dxf>
    <dxf>
      <font>
        <color indexed="51"/>
      </font>
    </dxf>
    <dxf>
      <font>
        <color indexed="12"/>
      </font>
    </dxf>
    <dxf>
      <font>
        <color indexed="10"/>
      </font>
    </dxf>
    <dxf>
      <font>
        <color indexed="51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51"/>
      </font>
    </dxf>
    <dxf>
      <font>
        <color indexed="12"/>
      </font>
    </dxf>
    <dxf>
      <font>
        <color indexed="10"/>
      </font>
    </dxf>
    <dxf>
      <font>
        <color indexed="51"/>
      </font>
    </dxf>
    <dxf>
      <font>
        <color indexed="12"/>
      </font>
    </dxf>
    <dxf>
      <font>
        <color indexed="10"/>
      </font>
    </dxf>
    <dxf>
      <font>
        <color indexed="51"/>
      </font>
    </dxf>
    <dxf>
      <font>
        <color indexed="12"/>
      </font>
    </dxf>
    <dxf>
      <font>
        <color indexed="10"/>
      </font>
    </dxf>
    <dxf>
      <font>
        <color indexed="51"/>
      </font>
    </dxf>
    <dxf>
      <font>
        <color indexed="12"/>
      </font>
    </dxf>
    <dxf>
      <font>
        <color indexed="10"/>
      </font>
    </dxf>
    <dxf>
      <font>
        <color indexed="51"/>
      </font>
    </dxf>
    <dxf>
      <font>
        <color indexed="12"/>
      </font>
    </dxf>
    <dxf>
      <font>
        <color indexed="10"/>
      </font>
    </dxf>
    <dxf>
      <font>
        <color indexed="51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51"/>
      </font>
    </dxf>
    <dxf>
      <font>
        <color indexed="12"/>
      </font>
    </dxf>
    <dxf>
      <font>
        <color indexed="10"/>
      </font>
    </dxf>
    <dxf>
      <font>
        <color indexed="51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51"/>
      </font>
    </dxf>
    <dxf>
      <font>
        <color indexed="12"/>
      </font>
    </dxf>
    <dxf>
      <font>
        <color indexed="10"/>
      </font>
    </dxf>
    <dxf>
      <font>
        <color indexed="51"/>
      </font>
    </dxf>
    <dxf>
      <font>
        <color indexed="12"/>
      </font>
    </dxf>
    <dxf>
      <font>
        <color indexed="10"/>
      </font>
    </dxf>
    <dxf>
      <font>
        <color indexed="51"/>
      </font>
    </dxf>
    <dxf>
      <font>
        <color indexed="12"/>
      </font>
    </dxf>
    <dxf>
      <font>
        <color indexed="10"/>
      </font>
    </dxf>
    <dxf>
      <font>
        <color indexed="51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51"/>
      </font>
    </dxf>
    <dxf>
      <font>
        <color indexed="12"/>
      </font>
    </dxf>
    <dxf>
      <font>
        <color indexed="10"/>
      </font>
    </dxf>
    <dxf>
      <font>
        <color indexed="51"/>
      </font>
    </dxf>
    <dxf>
      <font>
        <color indexed="12"/>
      </font>
    </dxf>
    <dxf>
      <font>
        <color indexed="10"/>
      </font>
    </dxf>
    <dxf>
      <font>
        <color indexed="51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51"/>
      </font>
    </dxf>
    <dxf>
      <font>
        <color indexed="12"/>
      </font>
    </dxf>
    <dxf>
      <font>
        <color indexed="10"/>
      </font>
    </dxf>
    <dxf>
      <font>
        <color indexed="51"/>
      </font>
    </dxf>
    <dxf>
      <font>
        <color indexed="12"/>
      </font>
    </dxf>
    <dxf>
      <font>
        <color indexed="10"/>
      </font>
    </dxf>
    <dxf>
      <font>
        <color indexed="51"/>
      </font>
    </dxf>
    <dxf>
      <font>
        <color indexed="12"/>
      </font>
    </dxf>
    <dxf>
      <font>
        <color indexed="10"/>
      </font>
    </dxf>
    <dxf>
      <font>
        <color indexed="51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51"/>
      </font>
    </dxf>
    <dxf>
      <font>
        <color indexed="12"/>
      </font>
    </dxf>
    <dxf>
      <font>
        <color indexed="10"/>
      </font>
    </dxf>
    <dxf>
      <font>
        <color indexed="51"/>
      </font>
    </dxf>
    <dxf>
      <font>
        <color indexed="12"/>
      </font>
    </dxf>
    <dxf>
      <font>
        <color indexed="10"/>
      </font>
    </dxf>
    <dxf>
      <font>
        <color indexed="51"/>
      </font>
    </dxf>
    <dxf>
      <font>
        <color indexed="12"/>
      </font>
    </dxf>
    <dxf>
      <font>
        <color indexed="10"/>
      </font>
    </dxf>
    <dxf>
      <font>
        <color indexed="51"/>
      </font>
    </dxf>
    <dxf>
      <font>
        <color indexed="12"/>
      </font>
    </dxf>
    <dxf>
      <font>
        <color indexed="10"/>
      </font>
    </dxf>
    <dxf>
      <font>
        <color indexed="51"/>
      </font>
    </dxf>
    <dxf>
      <font>
        <color indexed="12"/>
      </font>
    </dxf>
    <dxf>
      <font>
        <color indexed="10"/>
      </font>
    </dxf>
    <dxf>
      <font>
        <color indexed="51"/>
      </font>
    </dxf>
    <dxf>
      <font>
        <color indexed="12"/>
      </font>
    </dxf>
    <dxf>
      <font>
        <color indexed="10"/>
      </font>
    </dxf>
    <dxf>
      <font>
        <color indexed="51"/>
      </font>
    </dxf>
    <dxf>
      <font>
        <color indexed="12"/>
      </font>
    </dxf>
    <dxf>
      <font>
        <color indexed="10"/>
      </font>
    </dxf>
    <dxf>
      <font>
        <color indexed="51"/>
      </font>
    </dxf>
    <dxf>
      <font>
        <color indexed="12"/>
      </font>
    </dxf>
    <dxf>
      <font>
        <color indexed="10"/>
      </font>
    </dxf>
    <dxf>
      <font>
        <color indexed="51"/>
      </font>
    </dxf>
    <dxf>
      <font>
        <color indexed="12"/>
      </font>
    </dxf>
    <dxf>
      <font>
        <color indexed="10"/>
      </font>
    </dxf>
    <dxf>
      <font>
        <color indexed="51"/>
      </font>
    </dxf>
    <dxf>
      <font>
        <color indexed="12"/>
      </font>
    </dxf>
    <dxf>
      <font>
        <color indexed="10"/>
      </font>
    </dxf>
    <dxf>
      <font>
        <color indexed="51"/>
      </font>
    </dxf>
    <dxf>
      <font>
        <color indexed="12"/>
      </font>
    </dxf>
    <dxf>
      <font>
        <color indexed="10"/>
      </font>
    </dxf>
    <dxf>
      <font>
        <color indexed="51"/>
      </font>
    </dxf>
    <dxf>
      <font>
        <color indexed="12"/>
      </font>
    </dxf>
    <dxf>
      <font>
        <color indexed="10"/>
      </font>
    </dxf>
    <dxf>
      <font>
        <color indexed="51"/>
      </font>
    </dxf>
    <dxf>
      <font>
        <color indexed="12"/>
      </font>
    </dxf>
    <dxf>
      <font>
        <color indexed="10"/>
      </font>
    </dxf>
    <dxf>
      <font>
        <color indexed="51"/>
      </font>
    </dxf>
    <dxf>
      <font>
        <color indexed="12"/>
      </font>
    </dxf>
    <dxf>
      <font>
        <color indexed="10"/>
      </font>
    </dxf>
    <dxf>
      <font>
        <color indexed="51"/>
      </font>
    </dxf>
    <dxf>
      <font>
        <color indexed="12"/>
      </font>
    </dxf>
    <dxf>
      <font>
        <color indexed="10"/>
      </font>
    </dxf>
    <dxf>
      <font>
        <color indexed="51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51"/>
      </font>
    </dxf>
    <dxf>
      <font>
        <color indexed="12"/>
      </font>
    </dxf>
    <dxf>
      <font>
        <color indexed="10"/>
      </font>
    </dxf>
    <dxf>
      <font>
        <color indexed="51"/>
      </font>
    </dxf>
    <dxf>
      <font>
        <color indexed="12"/>
      </font>
    </dxf>
    <dxf>
      <font>
        <color indexed="10"/>
      </font>
    </dxf>
    <dxf>
      <font>
        <color indexed="51"/>
      </font>
    </dxf>
    <dxf>
      <font>
        <color indexed="12"/>
      </font>
    </dxf>
    <dxf>
      <font>
        <color indexed="10"/>
      </font>
    </dxf>
    <dxf>
      <font>
        <color indexed="51"/>
      </font>
    </dxf>
    <dxf>
      <font>
        <color indexed="12"/>
      </font>
    </dxf>
    <dxf>
      <font>
        <color indexed="10"/>
      </font>
    </dxf>
    <dxf>
      <font>
        <color indexed="51"/>
      </font>
    </dxf>
    <dxf>
      <font>
        <color indexed="12"/>
      </font>
    </dxf>
    <dxf>
      <font>
        <color indexed="10"/>
      </font>
    </dxf>
    <dxf>
      <font>
        <color indexed="51"/>
      </font>
    </dxf>
    <dxf>
      <font>
        <color indexed="12"/>
      </font>
    </dxf>
    <dxf>
      <font>
        <color indexed="10"/>
      </font>
    </dxf>
    <dxf>
      <font>
        <color indexed="51"/>
      </font>
    </dxf>
    <dxf>
      <font>
        <color indexed="12"/>
      </font>
    </dxf>
    <dxf>
      <font>
        <color indexed="10"/>
      </font>
    </dxf>
    <dxf>
      <font>
        <color indexed="51"/>
      </font>
    </dxf>
    <dxf>
      <font>
        <color indexed="12"/>
      </font>
    </dxf>
    <dxf>
      <font>
        <color indexed="10"/>
      </font>
    </dxf>
    <dxf>
      <font>
        <color indexed="51"/>
      </font>
    </dxf>
    <dxf>
      <font>
        <color indexed="12"/>
      </font>
    </dxf>
    <dxf>
      <font>
        <color indexed="10"/>
      </font>
    </dxf>
    <dxf>
      <font>
        <color indexed="51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51"/>
      </font>
    </dxf>
    <dxf>
      <font>
        <color indexed="12"/>
      </font>
    </dxf>
    <dxf>
      <font>
        <color indexed="10"/>
      </font>
    </dxf>
    <dxf>
      <font>
        <color indexed="51"/>
      </font>
    </dxf>
    <dxf>
      <font>
        <color indexed="12"/>
      </font>
    </dxf>
    <dxf>
      <font>
        <color indexed="10"/>
      </font>
    </dxf>
    <dxf>
      <font>
        <color indexed="51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ill>
        <patternFill>
          <bgColor indexed="15"/>
        </patternFill>
      </fill>
    </dxf>
    <dxf>
      <font>
        <color indexed="10"/>
      </font>
    </dxf>
    <dxf>
      <fill>
        <patternFill>
          <bgColor indexed="15"/>
        </patternFill>
      </fill>
    </dxf>
    <dxf>
      <font>
        <color rgb="FFFF0000"/>
      </font>
      <border/>
    </dxf>
    <dxf>
      <font>
        <color rgb="FF0000FF"/>
      </font>
      <border/>
    </dxf>
    <dxf>
      <font>
        <color rgb="FFFFCC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16</xdr:row>
      <xdr:rowOff>9525</xdr:rowOff>
    </xdr:from>
    <xdr:to>
      <xdr:col>36</xdr:col>
      <xdr:colOff>180975</xdr:colOff>
      <xdr:row>24</xdr:row>
      <xdr:rowOff>228600</xdr:rowOff>
    </xdr:to>
    <xdr:sp>
      <xdr:nvSpPr>
        <xdr:cNvPr id="1" name="Line 8"/>
        <xdr:cNvSpPr>
          <a:spLocks/>
        </xdr:cNvSpPr>
      </xdr:nvSpPr>
      <xdr:spPr>
        <a:xfrm>
          <a:off x="1152525" y="3971925"/>
          <a:ext cx="7200900" cy="2200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28575</xdr:colOff>
      <xdr:row>28</xdr:row>
      <xdr:rowOff>19050</xdr:rowOff>
    </xdr:from>
    <xdr:to>
      <xdr:col>33</xdr:col>
      <xdr:colOff>0</xdr:colOff>
      <xdr:row>36</xdr:row>
      <xdr:rowOff>0</xdr:rowOff>
    </xdr:to>
    <xdr:sp>
      <xdr:nvSpPr>
        <xdr:cNvPr id="2" name="Line 10"/>
        <xdr:cNvSpPr>
          <a:spLocks/>
        </xdr:cNvSpPr>
      </xdr:nvSpPr>
      <xdr:spPr>
        <a:xfrm>
          <a:off x="1181100" y="6953250"/>
          <a:ext cx="6391275" cy="1962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39</xdr:row>
      <xdr:rowOff>19050</xdr:rowOff>
    </xdr:from>
    <xdr:to>
      <xdr:col>33</xdr:col>
      <xdr:colOff>0</xdr:colOff>
      <xdr:row>46</xdr:row>
      <xdr:rowOff>219075</xdr:rowOff>
    </xdr:to>
    <xdr:sp>
      <xdr:nvSpPr>
        <xdr:cNvPr id="3" name="Line 11"/>
        <xdr:cNvSpPr>
          <a:spLocks/>
        </xdr:cNvSpPr>
      </xdr:nvSpPr>
      <xdr:spPr>
        <a:xfrm>
          <a:off x="1162050" y="9677400"/>
          <a:ext cx="6410325" cy="1933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</xdr:colOff>
      <xdr:row>3</xdr:row>
      <xdr:rowOff>19050</xdr:rowOff>
    </xdr:from>
    <xdr:to>
      <xdr:col>37</xdr:col>
      <xdr:colOff>0</xdr:colOff>
      <xdr:row>12</xdr:row>
      <xdr:rowOff>0</xdr:rowOff>
    </xdr:to>
    <xdr:sp>
      <xdr:nvSpPr>
        <xdr:cNvPr id="4" name="Line 37"/>
        <xdr:cNvSpPr>
          <a:spLocks/>
        </xdr:cNvSpPr>
      </xdr:nvSpPr>
      <xdr:spPr>
        <a:xfrm>
          <a:off x="1171575" y="762000"/>
          <a:ext cx="7200900" cy="2209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15</xdr:row>
      <xdr:rowOff>9525</xdr:rowOff>
    </xdr:from>
    <xdr:to>
      <xdr:col>32</xdr:col>
      <xdr:colOff>180975</xdr:colOff>
      <xdr:row>22</xdr:row>
      <xdr:rowOff>228600</xdr:rowOff>
    </xdr:to>
    <xdr:sp>
      <xdr:nvSpPr>
        <xdr:cNvPr id="1" name="Line 8"/>
        <xdr:cNvSpPr>
          <a:spLocks/>
        </xdr:cNvSpPr>
      </xdr:nvSpPr>
      <xdr:spPr>
        <a:xfrm>
          <a:off x="1152525" y="3724275"/>
          <a:ext cx="6400800" cy="1952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28575</xdr:colOff>
      <xdr:row>26</xdr:row>
      <xdr:rowOff>19050</xdr:rowOff>
    </xdr:from>
    <xdr:to>
      <xdr:col>33</xdr:col>
      <xdr:colOff>0</xdr:colOff>
      <xdr:row>34</xdr:row>
      <xdr:rowOff>0</xdr:rowOff>
    </xdr:to>
    <xdr:sp>
      <xdr:nvSpPr>
        <xdr:cNvPr id="2" name="Line 10"/>
        <xdr:cNvSpPr>
          <a:spLocks/>
        </xdr:cNvSpPr>
      </xdr:nvSpPr>
      <xdr:spPr>
        <a:xfrm>
          <a:off x="1181100" y="6457950"/>
          <a:ext cx="6391275" cy="1962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37</xdr:row>
      <xdr:rowOff>19050</xdr:rowOff>
    </xdr:from>
    <xdr:to>
      <xdr:col>33</xdr:col>
      <xdr:colOff>0</xdr:colOff>
      <xdr:row>45</xdr:row>
      <xdr:rowOff>0</xdr:rowOff>
    </xdr:to>
    <xdr:sp>
      <xdr:nvSpPr>
        <xdr:cNvPr id="3" name="Line 11"/>
        <xdr:cNvSpPr>
          <a:spLocks/>
        </xdr:cNvSpPr>
      </xdr:nvSpPr>
      <xdr:spPr>
        <a:xfrm>
          <a:off x="1162050" y="9182100"/>
          <a:ext cx="6410325" cy="1962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</xdr:colOff>
      <xdr:row>3</xdr:row>
      <xdr:rowOff>19050</xdr:rowOff>
    </xdr:from>
    <xdr:to>
      <xdr:col>33</xdr:col>
      <xdr:colOff>0</xdr:colOff>
      <xdr:row>11</xdr:row>
      <xdr:rowOff>0</xdr:rowOff>
    </xdr:to>
    <xdr:sp>
      <xdr:nvSpPr>
        <xdr:cNvPr id="4" name="Line 37"/>
        <xdr:cNvSpPr>
          <a:spLocks/>
        </xdr:cNvSpPr>
      </xdr:nvSpPr>
      <xdr:spPr>
        <a:xfrm>
          <a:off x="1171575" y="762000"/>
          <a:ext cx="6400800" cy="1962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3</xdr:row>
      <xdr:rowOff>19050</xdr:rowOff>
    </xdr:from>
    <xdr:to>
      <xdr:col>33</xdr:col>
      <xdr:colOff>0</xdr:colOff>
      <xdr:row>10</xdr:row>
      <xdr:rowOff>228600</xdr:rowOff>
    </xdr:to>
    <xdr:sp>
      <xdr:nvSpPr>
        <xdr:cNvPr id="1" name="Line 5"/>
        <xdr:cNvSpPr>
          <a:spLocks/>
        </xdr:cNvSpPr>
      </xdr:nvSpPr>
      <xdr:spPr>
        <a:xfrm>
          <a:off x="1171575" y="762000"/>
          <a:ext cx="6467475" cy="1943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28575</xdr:colOff>
      <xdr:row>16</xdr:row>
      <xdr:rowOff>228600</xdr:rowOff>
    </xdr:from>
    <xdr:to>
      <xdr:col>32</xdr:col>
      <xdr:colOff>190500</xdr:colOff>
      <xdr:row>25</xdr:row>
      <xdr:rowOff>9525</xdr:rowOff>
    </xdr:to>
    <xdr:sp>
      <xdr:nvSpPr>
        <xdr:cNvPr id="2" name="Line 6"/>
        <xdr:cNvSpPr>
          <a:spLocks/>
        </xdr:cNvSpPr>
      </xdr:nvSpPr>
      <xdr:spPr>
        <a:xfrm>
          <a:off x="1181100" y="4191000"/>
          <a:ext cx="6448425" cy="2009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</xdr:colOff>
      <xdr:row>31</xdr:row>
      <xdr:rowOff>19050</xdr:rowOff>
    </xdr:from>
    <xdr:to>
      <xdr:col>45</xdr:col>
      <xdr:colOff>19050</xdr:colOff>
      <xdr:row>40</xdr:row>
      <xdr:rowOff>9525</xdr:rowOff>
    </xdr:to>
    <xdr:sp>
      <xdr:nvSpPr>
        <xdr:cNvPr id="3" name="Line 7"/>
        <xdr:cNvSpPr>
          <a:spLocks/>
        </xdr:cNvSpPr>
      </xdr:nvSpPr>
      <xdr:spPr>
        <a:xfrm>
          <a:off x="1171575" y="7696200"/>
          <a:ext cx="7286625" cy="2219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</xdr:colOff>
      <xdr:row>45</xdr:row>
      <xdr:rowOff>19050</xdr:rowOff>
    </xdr:from>
    <xdr:to>
      <xdr:col>45</xdr:col>
      <xdr:colOff>57150</xdr:colOff>
      <xdr:row>53</xdr:row>
      <xdr:rowOff>219075</xdr:rowOff>
    </xdr:to>
    <xdr:sp>
      <xdr:nvSpPr>
        <xdr:cNvPr id="4" name="Line 8"/>
        <xdr:cNvSpPr>
          <a:spLocks/>
        </xdr:cNvSpPr>
      </xdr:nvSpPr>
      <xdr:spPr>
        <a:xfrm>
          <a:off x="1171575" y="11163300"/>
          <a:ext cx="7324725" cy="2181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3</xdr:row>
      <xdr:rowOff>19050</xdr:rowOff>
    </xdr:from>
    <xdr:to>
      <xdr:col>25</xdr:col>
      <xdr:colOff>28575</xdr:colOff>
      <xdr:row>9</xdr:row>
      <xdr:rowOff>0</xdr:rowOff>
    </xdr:to>
    <xdr:sp>
      <xdr:nvSpPr>
        <xdr:cNvPr id="1" name="Line 5"/>
        <xdr:cNvSpPr>
          <a:spLocks/>
        </xdr:cNvSpPr>
      </xdr:nvSpPr>
      <xdr:spPr>
        <a:xfrm>
          <a:off x="1171575" y="762000"/>
          <a:ext cx="4895850" cy="1466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</xdr:colOff>
      <xdr:row>12</xdr:row>
      <xdr:rowOff>19050</xdr:rowOff>
    </xdr:from>
    <xdr:to>
      <xdr:col>25</xdr:col>
      <xdr:colOff>28575</xdr:colOff>
      <xdr:row>18</xdr:row>
      <xdr:rowOff>0</xdr:rowOff>
    </xdr:to>
    <xdr:sp>
      <xdr:nvSpPr>
        <xdr:cNvPr id="2" name="Line 6"/>
        <xdr:cNvSpPr>
          <a:spLocks/>
        </xdr:cNvSpPr>
      </xdr:nvSpPr>
      <xdr:spPr>
        <a:xfrm>
          <a:off x="1171575" y="2990850"/>
          <a:ext cx="4895850" cy="1466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</xdr:colOff>
      <xdr:row>21</xdr:row>
      <xdr:rowOff>19050</xdr:rowOff>
    </xdr:from>
    <xdr:to>
      <xdr:col>25</xdr:col>
      <xdr:colOff>28575</xdr:colOff>
      <xdr:row>27</xdr:row>
      <xdr:rowOff>0</xdr:rowOff>
    </xdr:to>
    <xdr:sp>
      <xdr:nvSpPr>
        <xdr:cNvPr id="3" name="Line 6"/>
        <xdr:cNvSpPr>
          <a:spLocks/>
        </xdr:cNvSpPr>
      </xdr:nvSpPr>
      <xdr:spPr>
        <a:xfrm>
          <a:off x="1171575" y="5219700"/>
          <a:ext cx="4895850" cy="1466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Z56"/>
  <sheetViews>
    <sheetView view="pageBreakPreview" zoomScaleSheetLayoutView="100" zoomScalePageLayoutView="0" workbookViewId="0" topLeftCell="A1">
      <selection activeCell="C53" sqref="C53"/>
    </sheetView>
  </sheetViews>
  <sheetFormatPr defaultColWidth="9.00390625" defaultRowHeight="13.5"/>
  <cols>
    <col min="1" max="1" width="4.375" style="0" customWidth="1"/>
    <col min="2" max="2" width="11.125" style="0" customWidth="1"/>
    <col min="3" max="3" width="14.125" style="0" bestFit="1" customWidth="1"/>
    <col min="4" max="4" width="13.00390625" style="0" customWidth="1"/>
    <col min="5" max="8" width="5.625" style="0" customWidth="1"/>
    <col min="9" max="9" width="2.75390625" style="0" customWidth="1"/>
    <col min="10" max="10" width="3.00390625" style="0" customWidth="1"/>
    <col min="13" max="13" width="13.00390625" style="0" customWidth="1"/>
    <col min="14" max="17" width="5.625" style="0" customWidth="1"/>
    <col min="18" max="18" width="3.625" style="0" customWidth="1"/>
    <col min="19" max="19" width="4.00390625" style="0" customWidth="1"/>
    <col min="22" max="22" width="13.00390625" style="0" customWidth="1"/>
    <col min="23" max="26" width="5.625" style="0" customWidth="1"/>
  </cols>
  <sheetData>
    <row r="1" spans="13:14" ht="13.5">
      <c r="M1" s="70">
        <f ca="1">TODAY()</f>
        <v>45327</v>
      </c>
      <c r="N1" t="s">
        <v>50</v>
      </c>
    </row>
    <row r="3" spans="2:26" ht="14.25">
      <c r="B3" s="155" t="s">
        <v>38</v>
      </c>
      <c r="C3" s="155"/>
      <c r="D3" s="155"/>
      <c r="E3" s="155"/>
      <c r="F3" s="155"/>
      <c r="G3" s="155"/>
      <c r="H3" s="155"/>
      <c r="K3" s="155" t="s">
        <v>37</v>
      </c>
      <c r="L3" s="155"/>
      <c r="M3" s="155"/>
      <c r="N3" s="155"/>
      <c r="O3" s="155"/>
      <c r="P3" s="155"/>
      <c r="Q3" s="155"/>
      <c r="T3" s="155" t="s">
        <v>36</v>
      </c>
      <c r="U3" s="155"/>
      <c r="V3" s="155"/>
      <c r="W3" s="155"/>
      <c r="X3" s="155"/>
      <c r="Y3" s="155"/>
      <c r="Z3" s="155"/>
    </row>
    <row r="4" spans="2:16" ht="14.25">
      <c r="B4" s="56"/>
      <c r="C4" s="56"/>
      <c r="D4" s="56"/>
      <c r="E4" s="56"/>
      <c r="F4" s="56"/>
      <c r="G4" s="56"/>
      <c r="K4" s="56"/>
      <c r="L4" s="56"/>
      <c r="M4" s="56"/>
      <c r="N4" s="56"/>
      <c r="O4" s="56"/>
      <c r="P4" s="56"/>
    </row>
    <row r="5" spans="2:26" ht="14.25">
      <c r="B5" s="146" t="str">
        <f>"Ａブロック             試合消化率  "&amp;ROUND('Ａ戦'!AN2*100,1)&amp;"％"</f>
        <v>Ａブロック             試合消化率  85.7％</v>
      </c>
      <c r="C5" s="147"/>
      <c r="D5" s="147"/>
      <c r="E5" s="147"/>
      <c r="F5" s="147"/>
      <c r="G5" s="147"/>
      <c r="H5" s="148"/>
      <c r="K5" s="146" t="str">
        <f>"Ａブロック             試合消化率  "&amp;ROUND('Ｂ戦'!AJ2*100,1)&amp;"％"</f>
        <v>Ａブロック             試合消化率  60％</v>
      </c>
      <c r="L5" s="147"/>
      <c r="M5" s="147"/>
      <c r="N5" s="147"/>
      <c r="O5" s="147"/>
      <c r="P5" s="147"/>
      <c r="Q5" s="148"/>
      <c r="T5" s="146" t="str">
        <f>"Ａブロック             試合消化率  "&amp;ROUND('Ｃ戦'!AR2*100,1)&amp;"％"</f>
        <v>Ａブロック             試合消化率  76.7％</v>
      </c>
      <c r="U5" s="147"/>
      <c r="V5" s="147"/>
      <c r="W5" s="147"/>
      <c r="X5" s="147"/>
      <c r="Y5" s="147"/>
      <c r="Z5" s="148"/>
    </row>
    <row r="6" spans="2:26" ht="14.25">
      <c r="B6" s="57" t="s">
        <v>28</v>
      </c>
      <c r="C6" s="149" t="s">
        <v>29</v>
      </c>
      <c r="D6" s="149"/>
      <c r="E6" s="59" t="s">
        <v>30</v>
      </c>
      <c r="F6" s="59" t="s">
        <v>31</v>
      </c>
      <c r="G6" s="59" t="s">
        <v>34</v>
      </c>
      <c r="H6" s="59" t="s">
        <v>35</v>
      </c>
      <c r="K6" s="57" t="s">
        <v>28</v>
      </c>
      <c r="L6" s="149" t="s">
        <v>29</v>
      </c>
      <c r="M6" s="149"/>
      <c r="N6" s="59" t="s">
        <v>30</v>
      </c>
      <c r="O6" s="59" t="s">
        <v>31</v>
      </c>
      <c r="P6" s="59" t="s">
        <v>34</v>
      </c>
      <c r="Q6" s="59" t="s">
        <v>35</v>
      </c>
      <c r="T6" s="57" t="s">
        <v>28</v>
      </c>
      <c r="U6" s="149" t="s">
        <v>29</v>
      </c>
      <c r="V6" s="149"/>
      <c r="W6" s="59" t="s">
        <v>30</v>
      </c>
      <c r="X6" s="59" t="s">
        <v>31</v>
      </c>
      <c r="Y6" s="59" t="s">
        <v>34</v>
      </c>
      <c r="Z6" s="59" t="s">
        <v>35</v>
      </c>
    </row>
    <row r="7" spans="2:26" ht="14.25">
      <c r="B7" s="58" t="str">
        <f>IF(H7&gt;0,"暫定"&amp;'Ａ戦'!BD4&amp;"位",IF(SQRT((H7-H8)^2)*2+E8&gt;E7,"暫定"&amp;'Ａ戦'!BD4&amp;"位","第"&amp;'Ａ戦'!BD4&amp;"位"))</f>
        <v>第1位</v>
      </c>
      <c r="C7" s="150" t="str">
        <f>IF($C$43&gt;$C$42,+'Ａ戦'!BE4,"")</f>
        <v>高塚新田ラークス</v>
      </c>
      <c r="D7" s="150"/>
      <c r="E7" s="58">
        <f>IF($C$43&gt;$C$42,'Ａ戦'!BF4,"")</f>
        <v>12</v>
      </c>
      <c r="F7" s="58">
        <f>IF($C$43&gt;$C$42,+'Ａ戦'!BG4,"")</f>
        <v>6</v>
      </c>
      <c r="G7" s="58">
        <f>IF($C$43&gt;$C$42,+'Ａ戦'!BH4,"")</f>
        <v>6</v>
      </c>
      <c r="H7" s="58">
        <f>IF($C$43&gt;$C$42,MAX('Ａ戦'!AX4:AX12)-'戦績'!G7-1,"")</f>
        <v>0</v>
      </c>
      <c r="K7" s="58" t="str">
        <f>IF(Q7&gt;0,"暫定"&amp;'Ｂ戦'!AZ4&amp;"位",IF(SQRT((Q7-Q8)^2)*2+N8&gt;N7,"暫定"&amp;'Ｂ戦'!AZ4&amp;"位","第"&amp;'Ｂ戦'!AZ4&amp;"位"))</f>
        <v>第1位</v>
      </c>
      <c r="L7" s="150" t="str">
        <f>IF($C$43&gt;$C$42,+'Ｂ戦'!BA4,"")</f>
        <v>大橋みどりファイターズA</v>
      </c>
      <c r="M7" s="150"/>
      <c r="N7" s="58">
        <f>IF($C$43&gt;$C$42,'Ｂ戦'!BB4,"")</f>
        <v>8</v>
      </c>
      <c r="O7" s="58">
        <f>IF($C$43&gt;$C$42,+'Ｂ戦'!BC4,"")</f>
        <v>4</v>
      </c>
      <c r="P7" s="58">
        <f>IF($C$43&gt;$C$42,+'Ｂ戦'!BD4,"")</f>
        <v>4</v>
      </c>
      <c r="Q7" s="58">
        <f>IF($C$43&gt;$C$42,MAX('Ｂ戦'!AT4:AT11)-'戦績'!P7-1,"")</f>
        <v>0</v>
      </c>
      <c r="T7" s="58" t="str">
        <f>IF(Z7&gt;0,"暫定"&amp;'Ｃ戦'!BL4&amp;"位",IF(SQRT((Z7-Z8)^2)*2+W8&gt;W7,"暫定"&amp;'Ｃ戦'!BL4&amp;"位","第"&amp;'Ｃ戦'!BL4&amp;"位"))</f>
        <v>第1位</v>
      </c>
      <c r="U7" s="150" t="str">
        <f>IF($C$43&gt;$C$42,+'Ｃ戦'!BM4,"")</f>
        <v>増尾レッドスターズ</v>
      </c>
      <c r="V7" s="150"/>
      <c r="W7" s="58">
        <f>IF($C$43&gt;$C$42,+'Ｃ戦'!BN4,"")</f>
        <v>10</v>
      </c>
      <c r="X7" s="58">
        <f>IF($C$43&gt;$C$42,+'Ｃ戦'!BO4,"")</f>
        <v>5</v>
      </c>
      <c r="Y7" s="58">
        <f>IF($C$43&gt;$C$42,+'Ｃ戦'!BP4,"")</f>
        <v>5</v>
      </c>
      <c r="Z7" s="58">
        <f>IF($C$43&gt;$C$42,MAX('Ｃ戦'!BF$4:BF$13)-'戦績'!Y7-1,"")</f>
        <v>0</v>
      </c>
    </row>
    <row r="8" spans="2:26" ht="14.25">
      <c r="B8" s="57" t="str">
        <f>IF(H8&gt;0,"暫定"&amp;'Ａ戦'!BD5&amp;"位",IF(SQRT((H8-H9)^2)*2+E9&gt;E8,"暫定"&amp;'Ａ戦'!BD5&amp;"位","第"&amp;'Ａ戦'!BD5&amp;"位"))</f>
        <v>第2位</v>
      </c>
      <c r="C8" s="144" t="str">
        <f>IF($C$43&gt;$C$42,+'Ａ戦'!BE5,"")</f>
        <v>野菊野ファイターズ</v>
      </c>
      <c r="D8" s="144"/>
      <c r="E8" s="57">
        <f>IF($C$43&gt;$C$42,+'Ａ戦'!BF5,"")</f>
        <v>10</v>
      </c>
      <c r="F8" s="57">
        <f>IF($C$43&gt;$C$42,+'Ａ戦'!BG5,"")</f>
        <v>5</v>
      </c>
      <c r="G8" s="57">
        <f>IF($C$43&gt;$C$42,+'Ａ戦'!BH5,"")</f>
        <v>6</v>
      </c>
      <c r="H8" s="57">
        <f>IF($C$43&gt;$C$42,MAX('Ａ戦'!AX4:AX12)-'戦績'!G8-1,"")</f>
        <v>0</v>
      </c>
      <c r="K8" s="57" t="str">
        <f>IF(Q8&gt;0,"暫定"&amp;'Ｂ戦'!AZ5&amp;"位",IF(SQRT((Q8-Q9)^2)*2+N9&gt;N8,"暫定"&amp;'Ｂ戦'!AZ5&amp;"位","第"&amp;'Ｂ戦'!AZ5&amp;"位"))</f>
        <v>暫定2位</v>
      </c>
      <c r="L8" s="144" t="str">
        <f>IF($C$43&gt;$C$42,+'Ｂ戦'!BA5,"")</f>
        <v>八木南クラブ</v>
      </c>
      <c r="M8" s="144"/>
      <c r="N8" s="57">
        <f>IF($C$43&gt;$C$42,'Ｂ戦'!BB5,"")</f>
        <v>3</v>
      </c>
      <c r="O8" s="57">
        <f>IF($C$43&gt;$C$42,+'Ｂ戦'!BC5,"")</f>
        <v>1</v>
      </c>
      <c r="P8" s="57">
        <f>IF($C$43&gt;$C$42,+'Ｂ戦'!BD5,"")</f>
        <v>3</v>
      </c>
      <c r="Q8" s="57">
        <f>IF($C$43&gt;$C$42,MAX('Ｂ戦'!AT4:AT11)-'戦績'!P8-1,"")</f>
        <v>1</v>
      </c>
      <c r="T8" s="57" t="str">
        <f>IF(Z8&gt;0,"暫定"&amp;'Ｃ戦'!BL5&amp;"位",IF(SQRT((Z8-Z9)^2)*2+W9&gt;W8,"暫定"&amp;'Ｃ戦'!BL5&amp;"位","第"&amp;'Ｃ戦'!BL5&amp;"位"))</f>
        <v>第2位</v>
      </c>
      <c r="U8" s="144" t="str">
        <f>IF($C$43&gt;$C$42,+'Ｃ戦'!BM5,"")</f>
        <v>前崎クラブ</v>
      </c>
      <c r="V8" s="144"/>
      <c r="W8" s="57">
        <f>IF($C$43&gt;$C$42,+'Ｃ戦'!BN5,"")</f>
        <v>8</v>
      </c>
      <c r="X8" s="57">
        <f>IF($C$43&gt;$C$42,+'Ｃ戦'!BO5,"")</f>
        <v>4</v>
      </c>
      <c r="Y8" s="57">
        <f>IF($C$43&gt;$C$42,+'Ｃ戦'!BP5,"")</f>
        <v>5</v>
      </c>
      <c r="Z8" s="57">
        <f>IF($C$43&gt;$C$42,MAX('Ｃ戦'!BF$4:BF$13)-'戦績'!Y8-1,"")</f>
        <v>0</v>
      </c>
    </row>
    <row r="9" spans="2:26" ht="14.25">
      <c r="B9" s="57" t="str">
        <f>IF(H9&gt;0,"暫定"&amp;'Ａ戦'!BD6&amp;"位","第"&amp;'Ａ戦'!BD6&amp;"位")</f>
        <v>第3位</v>
      </c>
      <c r="C9" s="144" t="str">
        <f>IF($C$43&gt;$C$42,+'Ａ戦'!BE6,"")</f>
        <v>七次台ジャガース</v>
      </c>
      <c r="D9" s="144"/>
      <c r="E9" s="57">
        <f>IF($C$43&gt;$C$42,+'Ａ戦'!BF6,"")</f>
        <v>6</v>
      </c>
      <c r="F9" s="57">
        <f>IF($C$43&gt;$C$42,+'Ａ戦'!BG6,"")</f>
        <v>3</v>
      </c>
      <c r="G9" s="57">
        <f>IF($C$43&gt;$C$42,+'Ａ戦'!BH6,"")</f>
        <v>6</v>
      </c>
      <c r="H9" s="57">
        <f>IF($C$43&gt;$C$42,MAX('Ａ戦'!AX4:AX12)-'戦績'!G9-1,"")</f>
        <v>0</v>
      </c>
      <c r="K9" s="57" t="str">
        <f>IF(Q9&gt;0,"暫定"&amp;'Ｂ戦'!AZ6&amp;"位",IF(SQRT((Q9-Q10)^2)*2+N10&gt;N9,"暫定"&amp;'Ｂ戦'!AZ6&amp;"位","第"&amp;'Ｂ戦'!AZ6&amp;"位"))</f>
        <v>暫定3位</v>
      </c>
      <c r="L9" s="144" t="str">
        <f>IF($C$43&gt;$C$42,+'Ｂ戦'!BA6,"")</f>
        <v>松戸スラッガーズ</v>
      </c>
      <c r="M9" s="144"/>
      <c r="N9" s="57">
        <f>IF($C$43&gt;$C$42,'Ｂ戦'!BB6,"")</f>
        <v>1</v>
      </c>
      <c r="O9" s="57">
        <f>IF($C$43&gt;$C$42,+'Ｂ戦'!BC6,"")</f>
        <v>0</v>
      </c>
      <c r="P9" s="57">
        <f>IF($C$43&gt;$C$42,+'Ｂ戦'!BD6,"")</f>
        <v>2</v>
      </c>
      <c r="Q9" s="57">
        <f>IF($C$43&gt;$C$42,MAX('Ｂ戦'!AT4:AT11)-'戦績'!P9-1,"")</f>
        <v>2</v>
      </c>
      <c r="T9" s="57" t="str">
        <f>IF(Z9&gt;0,"暫定"&amp;'Ｃ戦'!BL6&amp;"位","第"&amp;'Ｃ戦'!BL6&amp;"位")</f>
        <v>第3位</v>
      </c>
      <c r="U9" s="144" t="str">
        <f>IF($C$43&gt;$C$42,+'Ｃ戦'!BM6,"")</f>
        <v>小金原ビクトリー</v>
      </c>
      <c r="V9" s="144"/>
      <c r="W9" s="57">
        <f>IF($C$43&gt;$C$42,+'Ｃ戦'!BN6,"")</f>
        <v>6</v>
      </c>
      <c r="X9" s="57">
        <f>IF($C$43&gt;$C$42,+'Ｃ戦'!BO6,"")</f>
        <v>3</v>
      </c>
      <c r="Y9" s="57">
        <f>IF($C$43&gt;$C$42,+'Ｃ戦'!BP6,"")</f>
        <v>5</v>
      </c>
      <c r="Z9" s="57">
        <f>IF($C$43&gt;$C$42,MAX('Ｃ戦'!BF$4:BF$13)-'戦績'!Y9-1,"")</f>
        <v>0</v>
      </c>
    </row>
    <row r="11" spans="2:26" ht="14.25">
      <c r="B11" s="146" t="str">
        <f>"Bブロック             試合消化率  "&amp;ROUND('Ａ戦'!AN15*100,1)&amp;"％"</f>
        <v>Bブロック             試合消化率  73.3％</v>
      </c>
      <c r="C11" s="147"/>
      <c r="D11" s="147"/>
      <c r="E11" s="147"/>
      <c r="F11" s="147"/>
      <c r="G11" s="147"/>
      <c r="H11" s="148"/>
      <c r="K11" s="146" t="str">
        <f>"Bブロック             試合消化率  "&amp;ROUND('Ｂ戦'!AJ14*100,1)&amp;"％"</f>
        <v>Bブロック             試合消化率  60％</v>
      </c>
      <c r="L11" s="147"/>
      <c r="M11" s="147"/>
      <c r="N11" s="147"/>
      <c r="O11" s="147"/>
      <c r="P11" s="147"/>
      <c r="Q11" s="148"/>
      <c r="T11" s="146" t="str">
        <f>"Bブロック             試合消化率  "&amp;ROUND('Ｃ戦'!AR16*100,1)&amp;"％"</f>
        <v>Bブロック             試合消化率  66.7％</v>
      </c>
      <c r="U11" s="147"/>
      <c r="V11" s="147"/>
      <c r="W11" s="147"/>
      <c r="X11" s="147"/>
      <c r="Y11" s="147"/>
      <c r="Z11" s="148"/>
    </row>
    <row r="12" spans="2:26" ht="14.25">
      <c r="B12" s="57" t="s">
        <v>28</v>
      </c>
      <c r="C12" s="149" t="s">
        <v>29</v>
      </c>
      <c r="D12" s="149"/>
      <c r="E12" s="59" t="s">
        <v>30</v>
      </c>
      <c r="F12" s="59" t="s">
        <v>31</v>
      </c>
      <c r="G12" s="59" t="s">
        <v>34</v>
      </c>
      <c r="H12" s="59" t="s">
        <v>35</v>
      </c>
      <c r="K12" s="57" t="s">
        <v>28</v>
      </c>
      <c r="L12" s="149" t="s">
        <v>29</v>
      </c>
      <c r="M12" s="149"/>
      <c r="N12" s="59" t="s">
        <v>30</v>
      </c>
      <c r="O12" s="59" t="s">
        <v>31</v>
      </c>
      <c r="P12" s="59" t="s">
        <v>34</v>
      </c>
      <c r="Q12" s="59" t="s">
        <v>35</v>
      </c>
      <c r="T12" s="57" t="s">
        <v>28</v>
      </c>
      <c r="U12" s="149" t="s">
        <v>29</v>
      </c>
      <c r="V12" s="149"/>
      <c r="W12" s="59" t="s">
        <v>30</v>
      </c>
      <c r="X12" s="59" t="s">
        <v>31</v>
      </c>
      <c r="Y12" s="59" t="s">
        <v>34</v>
      </c>
      <c r="Z12" s="59" t="s">
        <v>35</v>
      </c>
    </row>
    <row r="13" spans="2:26" ht="14.25">
      <c r="B13" s="58" t="str">
        <f>IF(H13&gt;0,"暫定"&amp;'Ａ戦'!BD17&amp;"位",IF(SQRT((H13-H14)^2)*2+E14&gt;E13,"暫定"&amp;'Ａ戦'!BD17&amp;"位","第"&amp;'Ａ戦'!BD17&amp;"位"))</f>
        <v>第1位</v>
      </c>
      <c r="C13" s="150" t="str">
        <f>IF($C$43&gt;$C$42,+'Ａ戦'!BE17,"")</f>
        <v>五香メッツ</v>
      </c>
      <c r="D13" s="150"/>
      <c r="E13" s="58">
        <f>IF($C$43&gt;$C$42,+'Ａ戦'!BF17,"")</f>
        <v>9</v>
      </c>
      <c r="F13" s="58">
        <f>IF($C$43&gt;$C$42,+'Ａ戦'!BG17,"")</f>
        <v>4</v>
      </c>
      <c r="G13" s="58">
        <f>IF($C$43&gt;$C$42,+'Ａ戦'!BH17,"")</f>
        <v>5</v>
      </c>
      <c r="H13" s="58">
        <f>IF($C$43&gt;$C$42,MAX('Ａ戦'!AX17:AX25)-'戦績'!G13-1,"")</f>
        <v>0</v>
      </c>
      <c r="K13" s="58" t="str">
        <f>IF(Q13&gt;0,"暫定"&amp;'Ｂ戦'!AZ16&amp;"位",IF(SQRT((Q13-Q14)^2)*2+N14&gt;N13,"暫定"&amp;'Ｂ戦'!AZ16&amp;"位","第"&amp;'Ｂ戦'!AZ16&amp;"位"))</f>
        <v>第1位</v>
      </c>
      <c r="L13" s="150" t="str">
        <f>IF($C$43&gt;$C$42,+'Ｂ戦'!BA16,"")</f>
        <v>増尾レッドスターズ</v>
      </c>
      <c r="M13" s="150"/>
      <c r="N13" s="58">
        <f>IF($C$43&gt;$C$42,'Ｂ戦'!BB16,"")</f>
        <v>8</v>
      </c>
      <c r="O13" s="58">
        <f>IF($C$43&gt;$C$42,+'Ｂ戦'!BC16,"")</f>
        <v>4</v>
      </c>
      <c r="P13" s="58">
        <f>IF($C$43&gt;$C$42,+'Ｂ戦'!BD16,"")</f>
        <v>4</v>
      </c>
      <c r="Q13" s="58">
        <f>IF($C$43&gt;$C$42,MAX('Ｂ戦'!AT16:AT23)-'戦績'!P13-1,"")</f>
        <v>0</v>
      </c>
      <c r="T13" s="58" t="str">
        <f>IF(Z13&gt;0,"暫定"&amp;'Ｃ戦'!BL18&amp;"位",IF(SQRT((Z13-Z14)^2)*2+W14&gt;W13,"暫定"&amp;'Ｃ戦'!BL18&amp;"位","第"&amp;'Ｃ戦'!BL18&amp;"位"))</f>
        <v>第1位</v>
      </c>
      <c r="U13" s="150" t="str">
        <f>IF($C$43&gt;$C$42,+'Ｃ戦'!BM18,"")</f>
        <v>大橋みどりファイターズ</v>
      </c>
      <c r="V13" s="150"/>
      <c r="W13" s="58">
        <f>IF($C$43&gt;$C$42,+'Ｃ戦'!BN18,"")</f>
        <v>10</v>
      </c>
      <c r="X13" s="58">
        <f>IF($C$43&gt;$C$42,+'Ｃ戦'!BO18,"")</f>
        <v>5</v>
      </c>
      <c r="Y13" s="58">
        <f>IF($C$43&gt;$C$42,+'Ｃ戦'!BP18,"")</f>
        <v>5</v>
      </c>
      <c r="Z13" s="58">
        <f>IF($C$43&gt;$C$42,MAX('Ｃ戦'!BF$18:BF$27)-'戦績'!Y13-1,"")</f>
        <v>0</v>
      </c>
    </row>
    <row r="14" spans="2:26" ht="14.25">
      <c r="B14" s="57" t="str">
        <f>IF(H14&gt;0,"暫定"&amp;'Ａ戦'!BD18&amp;"位",IF(SQRT((H14-H15)^2)*2+E15&gt;E14,"暫定"&amp;'Ａ戦'!BD18&amp;"位","第"&amp;'Ａ戦'!BD18&amp;"位"))</f>
        <v>暫定2位</v>
      </c>
      <c r="C14" s="144" t="str">
        <f>IF($C$43&gt;$C$42,+'Ａ戦'!BE18,"")</f>
        <v>松戸KSカージナルス
</v>
      </c>
      <c r="D14" s="144"/>
      <c r="E14" s="57">
        <f>IF($C$43&gt;$C$42,+'Ａ戦'!BF18,"")</f>
        <v>6</v>
      </c>
      <c r="F14" s="57">
        <f>IF($C$43&gt;$C$42,+'Ａ戦'!BG18,"")</f>
        <v>3</v>
      </c>
      <c r="G14" s="57">
        <f>IF($C$43&gt;$C$42,+'Ａ戦'!BH18,"")</f>
        <v>4</v>
      </c>
      <c r="H14" s="57">
        <f>IF($C$43&gt;$C$42,MAX('Ａ戦'!AX17:AX25)-'戦績'!G14-1,"")</f>
        <v>1</v>
      </c>
      <c r="K14" s="57" t="str">
        <f>IF(Q14&gt;0,"暫定"&amp;'Ｂ戦'!AZ17&amp;"位",IF(SQRT((Q14-Q15)^2)*2+N15&gt;N14,"暫定"&amp;'Ｂ戦'!AZ17&amp;"位","第"&amp;'Ｂ戦'!AZ17&amp;"位"))</f>
        <v>暫定2位</v>
      </c>
      <c r="L14" s="144" t="str">
        <f>IF($C$43&gt;$C$42,+'Ｂ戦'!BA17,"")</f>
        <v>根木内ヤングスターズ</v>
      </c>
      <c r="M14" s="144"/>
      <c r="N14" s="57">
        <f>IF($C$43&gt;$C$42,'Ｂ戦'!BB17,"")</f>
        <v>4</v>
      </c>
      <c r="O14" s="57">
        <f>IF($C$43&gt;$C$42,+'Ｂ戦'!BC17,"")</f>
        <v>2</v>
      </c>
      <c r="P14" s="57">
        <f>IF($C$43&gt;$C$42,+'Ｂ戦'!BD17,"")</f>
        <v>3</v>
      </c>
      <c r="Q14" s="57">
        <f>IF($C$43&gt;$C$42,MAX('Ｂ戦'!AT16:AT23)-'戦績'!P14-1,"")</f>
        <v>1</v>
      </c>
      <c r="T14" s="57" t="str">
        <f>IF(Z14&gt;0,"暫定"&amp;'Ｃ戦'!BL19&amp;"位",IF(SQRT((Z14-Z15)^2)*2+W15&gt;W14,"暫定"&amp;'Ｃ戦'!BL19&amp;"位","第"&amp;'Ｃ戦'!BL19&amp;"位"))</f>
        <v>暫定2位</v>
      </c>
      <c r="U14" s="144" t="str">
        <f>IF($C$43&gt;$C$42,+'Ｃ戦'!BM19,"")</f>
        <v>柏ドリームス</v>
      </c>
      <c r="V14" s="144"/>
      <c r="W14" s="57">
        <f>IF($C$43&gt;$C$42,+'Ｃ戦'!BN19,"")</f>
        <v>5</v>
      </c>
      <c r="X14" s="57">
        <f>IF($C$43&gt;$C$42,+'Ｃ戦'!BO19,"")</f>
        <v>2</v>
      </c>
      <c r="Y14" s="57">
        <f>IF($C$43&gt;$C$42,+'Ｃ戦'!BP19,"")</f>
        <v>5</v>
      </c>
      <c r="Z14" s="57">
        <f>IF($C$43&gt;$C$42,MAX('Ｃ戦'!BF$18:BF$27)-'戦績'!Y14-1,"")</f>
        <v>0</v>
      </c>
    </row>
    <row r="15" spans="2:26" ht="14.25">
      <c r="B15" s="57" t="str">
        <f>IF(H15&gt;0,"暫定"&amp;'Ａ戦'!BD19&amp;"位","第"&amp;'Ａ戦'!BD19&amp;"位")</f>
        <v>暫定3位</v>
      </c>
      <c r="C15" s="144" t="str">
        <f>IF($C$43&gt;$C$42,+'Ａ戦'!BE19,"")</f>
        <v>柏ドリームス</v>
      </c>
      <c r="D15" s="144"/>
      <c r="E15" s="57">
        <f>IF($C$43&gt;$C$42,+'Ａ戦'!BF19,"")</f>
        <v>5</v>
      </c>
      <c r="F15" s="57">
        <f>IF($C$43&gt;$C$42,+'Ａ戦'!BG19,"")</f>
        <v>2</v>
      </c>
      <c r="G15" s="57">
        <f>IF($C$43&gt;$C$42,+'Ａ戦'!BH19,"")</f>
        <v>4</v>
      </c>
      <c r="H15" s="57">
        <f>IF($C$43&gt;$C$42,MAX('Ａ戦'!AX17:AX25)-'戦績'!G15-1,"")</f>
        <v>1</v>
      </c>
      <c r="K15" s="57" t="str">
        <f>IF(Q15&gt;0,"暫定"&amp;'Ｂ戦'!AZ18&amp;"位",IF(SQRT((Q15-Q16)^2)*2+N16&gt;N15,"暫定"&amp;'Ｂ戦'!AZ18&amp;"位","第"&amp;'Ｂ戦'!AZ18&amp;"位"))</f>
        <v>暫定3位</v>
      </c>
      <c r="L15" s="144" t="str">
        <f>IF($C$43&gt;$C$42,+'Ｂ戦'!BA18,"")</f>
        <v>五香メッツ</v>
      </c>
      <c r="M15" s="144"/>
      <c r="N15" s="57">
        <f>IF($C$43&gt;$C$42,'Ｂ戦'!BB18,"")</f>
        <v>0</v>
      </c>
      <c r="O15" s="57">
        <f>IF($C$43&gt;$C$42,+'Ｂ戦'!BC18,"")</f>
        <v>0</v>
      </c>
      <c r="P15" s="57">
        <f>IF($C$43&gt;$C$42,+'Ｂ戦'!BD18,"")</f>
        <v>2</v>
      </c>
      <c r="Q15" s="57">
        <f>IF($C$43&gt;$C$42,MAX('Ｂ戦'!AT16:AT23)-'戦績'!P15-1,"")</f>
        <v>2</v>
      </c>
      <c r="T15" s="57" t="str">
        <f>IF(Z15&gt;0,"暫定"&amp;'Ｃ戦'!BL20&amp;"位","第"&amp;'Ｃ戦'!BL20&amp;"位")</f>
        <v>暫定3位</v>
      </c>
      <c r="U15" s="144" t="str">
        <f>IF($C$43&gt;$C$42,+'Ｃ戦'!BM20,"")</f>
        <v>根木内ヤングスターズ</v>
      </c>
      <c r="V15" s="144"/>
      <c r="W15" s="57">
        <f>IF($C$43&gt;$C$42,+'Ｃ戦'!BN20,"")</f>
        <v>4</v>
      </c>
      <c r="X15" s="57">
        <f>IF($C$43&gt;$C$42,+'Ｃ戦'!BO20,"")</f>
        <v>2</v>
      </c>
      <c r="Y15" s="57">
        <f>IF($C$43&gt;$C$42,+'Ｃ戦'!BP20,"")</f>
        <v>4</v>
      </c>
      <c r="Z15" s="57">
        <f>IF($C$43&gt;$C$42,MAX('Ｃ戦'!BF$18:BF$27)-'戦績'!Y15-1,"")</f>
        <v>1</v>
      </c>
    </row>
    <row r="17" spans="2:26" ht="14.25">
      <c r="B17" s="146" t="str">
        <f>"Cブロック             試合消化率  "&amp;ROUND('Ａ戦'!AN27*100,1)&amp;"％"</f>
        <v>Cブロック             試合消化率  93.3％</v>
      </c>
      <c r="C17" s="147"/>
      <c r="D17" s="147"/>
      <c r="E17" s="147"/>
      <c r="F17" s="147"/>
      <c r="G17" s="147"/>
      <c r="H17" s="148"/>
      <c r="K17" s="146" t="str">
        <f>"Cブロック             試合消化率  "&amp;ROUND('Ｂ戦'!AJ25*100,1)&amp;"％"</f>
        <v>Cブロック             試合消化率  50％</v>
      </c>
      <c r="L17" s="147"/>
      <c r="M17" s="147"/>
      <c r="N17" s="147"/>
      <c r="O17" s="147"/>
      <c r="P17" s="147"/>
      <c r="Q17" s="148"/>
      <c r="T17" s="146" t="str">
        <f>"Cブロック             試合消化率  "&amp;ROUND('Ｃ戦'!AR30*100,1)&amp;"％"</f>
        <v>Cブロック             試合消化率  93.3％</v>
      </c>
      <c r="U17" s="147"/>
      <c r="V17" s="147"/>
      <c r="W17" s="147"/>
      <c r="X17" s="147"/>
      <c r="Y17" s="147"/>
      <c r="Z17" s="148"/>
    </row>
    <row r="18" spans="2:26" ht="14.25">
      <c r="B18" s="57" t="s">
        <v>28</v>
      </c>
      <c r="C18" s="149" t="s">
        <v>29</v>
      </c>
      <c r="D18" s="149"/>
      <c r="E18" s="59" t="s">
        <v>30</v>
      </c>
      <c r="F18" s="59" t="s">
        <v>31</v>
      </c>
      <c r="G18" s="59" t="s">
        <v>34</v>
      </c>
      <c r="H18" s="59" t="s">
        <v>35</v>
      </c>
      <c r="K18" s="57" t="s">
        <v>28</v>
      </c>
      <c r="L18" s="149" t="s">
        <v>29</v>
      </c>
      <c r="M18" s="149"/>
      <c r="N18" s="59" t="s">
        <v>30</v>
      </c>
      <c r="O18" s="59" t="s">
        <v>31</v>
      </c>
      <c r="P18" s="59" t="s">
        <v>34</v>
      </c>
      <c r="Q18" s="59" t="s">
        <v>35</v>
      </c>
      <c r="T18" s="57" t="s">
        <v>28</v>
      </c>
      <c r="U18" s="149" t="s">
        <v>29</v>
      </c>
      <c r="V18" s="149"/>
      <c r="W18" s="59" t="s">
        <v>30</v>
      </c>
      <c r="X18" s="59" t="s">
        <v>31</v>
      </c>
      <c r="Y18" s="59" t="s">
        <v>34</v>
      </c>
      <c r="Z18" s="59" t="s">
        <v>35</v>
      </c>
    </row>
    <row r="19" spans="2:26" ht="14.25">
      <c r="B19" s="58" t="str">
        <f>IF(H19&gt;0,"暫定"&amp;'Ａ戦'!BD29&amp;"位",IF(SQRT((H19-H20)^2)*2+E20&gt;E19,"暫定"&amp;'Ａ戦'!BD29&amp;"位","第"&amp;'Ａ戦'!BD29&amp;"位"))</f>
        <v>第1位</v>
      </c>
      <c r="C19" s="150" t="str">
        <f>IF($C$43&gt;$C$42,+'Ａ戦'!BE29,"")</f>
        <v>小金原ビクトリー</v>
      </c>
      <c r="D19" s="150"/>
      <c r="E19" s="58">
        <f>IF($C$43&gt;$C$42,+'Ａ戦'!BF29,"")</f>
        <v>8</v>
      </c>
      <c r="F19" s="58">
        <f>IF($C$43&gt;$C$42,+'Ａ戦'!BG29,"")</f>
        <v>4</v>
      </c>
      <c r="G19" s="58">
        <f>IF($C$43&gt;$C$42,+'Ａ戦'!BH29,"")</f>
        <v>5</v>
      </c>
      <c r="H19" s="58">
        <f>IF($C$43&gt;$C$42,MAX('Ａ戦'!AX29:AX36)-'戦績'!G19-1,"")</f>
        <v>0</v>
      </c>
      <c r="K19" s="58" t="str">
        <f>IF(Q19&gt;0,"暫定"&amp;'Ｂ戦'!AZ27&amp;"位",IF(SQRT((Q19-Q20)^2)*2+N20&gt;N19,"暫定"&amp;'Ｂ戦'!AZ27&amp;"位","第"&amp;'Ｂ戦'!AZ27&amp;"位"))</f>
        <v>暫定1位</v>
      </c>
      <c r="L19" s="150" t="str">
        <f>IF($C$43&gt;$C$42,+'Ｂ戦'!BA27,"")</f>
        <v>吉川ドリームズ</v>
      </c>
      <c r="M19" s="150"/>
      <c r="N19" s="58">
        <f>IF($C$43&gt;$C$42,'Ｂ戦'!BB27,"")</f>
        <v>6</v>
      </c>
      <c r="O19" s="58">
        <f>IF($C$43&gt;$C$42,+'Ｂ戦'!BC27,"")</f>
        <v>3</v>
      </c>
      <c r="P19" s="58">
        <f>IF($C$43&gt;$C$42,+'Ｂ戦'!BD27,"")</f>
        <v>4</v>
      </c>
      <c r="Q19" s="58">
        <f>IF($C$43&gt;$C$42,MAX('Ｂ戦'!AT27:AT34)-'戦績'!P19-1,"")</f>
        <v>0</v>
      </c>
      <c r="T19" s="58" t="s">
        <v>57</v>
      </c>
      <c r="U19" s="150" t="str">
        <f>IF($C$43&gt;$C$42,+'Ｃ戦'!BM32,"")</f>
        <v>木刈ファイターズ</v>
      </c>
      <c r="V19" s="150"/>
      <c r="W19" s="58">
        <f>IF($C$43&gt;$C$42,+'Ｃ戦'!BN32,"")</f>
        <v>7</v>
      </c>
      <c r="X19" s="58">
        <f>IF($C$43&gt;$C$42,+'Ｃ戦'!BO32,"")</f>
        <v>3</v>
      </c>
      <c r="Y19" s="58">
        <f>IF($C$43&gt;$C$42,+'Ｃ戦'!BP32,"")</f>
        <v>5</v>
      </c>
      <c r="Z19" s="58">
        <f>IF($C$43&gt;$C$42,MAX('Ｃ戦'!BF$32:BF$41)-'戦績'!Y19-1,"")</f>
        <v>0</v>
      </c>
    </row>
    <row r="20" spans="2:26" ht="14.25">
      <c r="B20" s="57" t="str">
        <f>IF(H20&gt;0,"暫定"&amp;'Ａ戦'!BD30&amp;"位",IF(SQRT((H20-H21)^2)*2+E21&gt;E20,"暫定"&amp;'Ａ戦'!BD30&amp;"位","第"&amp;'Ａ戦'!BD30&amp;"位"))</f>
        <v>暫定2位</v>
      </c>
      <c r="C20" s="144" t="str">
        <f>IF($C$43&gt;$C$42,+'Ａ戦'!BE30,"")</f>
        <v>セントラルパークス</v>
      </c>
      <c r="D20" s="144"/>
      <c r="E20" s="57">
        <f>IF($C$43&gt;$C$42,+'Ａ戦'!BF30,"")</f>
        <v>6</v>
      </c>
      <c r="F20" s="57">
        <f>IF($C$43&gt;$C$42,+'Ａ戦'!BG30,"")</f>
        <v>3</v>
      </c>
      <c r="G20" s="57">
        <f>IF($C$43&gt;$C$42,+'Ａ戦'!BH30,"")</f>
        <v>5</v>
      </c>
      <c r="H20" s="57">
        <f>IF($C$43&gt;$C$42,MAX('Ａ戦'!AX30:AX37)-'戦績'!G20-1,"")</f>
        <v>0</v>
      </c>
      <c r="K20" s="57" t="str">
        <f>IF(Q20&gt;0,"暫定"&amp;'Ｂ戦'!AZ28&amp;"位",IF(SQRT((Q20-Q21)^2)*2+N21&gt;N20,"暫定"&amp;'Ｂ戦'!AZ28&amp;"位","第"&amp;'Ｂ戦'!AZ28&amp;"位"))</f>
        <v>暫定2位</v>
      </c>
      <c r="L20" s="144" t="str">
        <f>IF($C$43&gt;$C$42,+'Ｂ戦'!BA28,"")</f>
        <v>常盤平ボーイズ</v>
      </c>
      <c r="M20" s="144"/>
      <c r="N20" s="57">
        <f>IF($C$43&gt;$C$42,'Ｂ戦'!BB28,"")</f>
        <v>4</v>
      </c>
      <c r="O20" s="57">
        <f>IF($C$43&gt;$C$42,+'Ｂ戦'!BC28,"")</f>
        <v>2</v>
      </c>
      <c r="P20" s="57">
        <f>IF($C$43&gt;$C$42,+'Ｂ戦'!BD28,"")</f>
        <v>2</v>
      </c>
      <c r="Q20" s="57">
        <f>IF($C$43&gt;$C$42,MAX('Ｂ戦'!AT27:AT34)-'戦績'!P20-1,"")</f>
        <v>2</v>
      </c>
      <c r="T20" s="57" t="str">
        <f>IF(Z20&gt;0,"暫定"&amp;'Ｃ戦'!BL33&amp;"位",IF(SQRT((Z20-Z21)^2)*2+W21&gt;W20,"暫定"&amp;'Ｃ戦'!BL33&amp;"位","第"&amp;'Ｃ戦'!BL33&amp;"位"))</f>
        <v>暫定2位</v>
      </c>
      <c r="U20" s="144" t="str">
        <f>IF($C$43&gt;$C$42,+'Ｃ戦'!BM33,"")</f>
        <v>高塚新田ラークス</v>
      </c>
      <c r="V20" s="144"/>
      <c r="W20" s="57">
        <f>IF($C$43&gt;$C$42,+'Ｃ戦'!BN33,"")</f>
        <v>6</v>
      </c>
      <c r="X20" s="57">
        <f>IF($C$43&gt;$C$42,+'Ｃ戦'!BO33,"")</f>
        <v>3</v>
      </c>
      <c r="Y20" s="57">
        <f>IF($C$43&gt;$C$42,+'Ｃ戦'!BP33,"")</f>
        <v>4</v>
      </c>
      <c r="Z20" s="57">
        <f>IF($C$43&gt;$C$42,MAX('Ｃ戦'!BF$32:BF$41)-'戦績'!Y20-1,"")</f>
        <v>1</v>
      </c>
    </row>
    <row r="21" spans="2:26" ht="14.25">
      <c r="B21" s="57" t="str">
        <f>IF(H21&gt;0,"暫定"&amp;'Ａ戦'!BD31&amp;"位","第"&amp;'Ａ戦'!BD31&amp;"位")</f>
        <v>暫定2位</v>
      </c>
      <c r="C21" s="144" t="str">
        <f>IF($C$43&gt;$C$42,+'Ａ戦'!BE31,"")</f>
        <v>大橋みどりファイターズ</v>
      </c>
      <c r="D21" s="144"/>
      <c r="E21" s="57">
        <f>IF($C$43&gt;$C$42,+'Ａ戦'!BF31,"")</f>
        <v>6</v>
      </c>
      <c r="F21" s="57">
        <f>IF($C$43&gt;$C$42,+'Ａ戦'!BG31,"")</f>
        <v>3</v>
      </c>
      <c r="G21" s="57">
        <f>IF($C$43&gt;$C$42,+'Ａ戦'!BH31,"")</f>
        <v>4</v>
      </c>
      <c r="H21" s="57">
        <f>IF($C$43&gt;$C$42,MAX('Ａ戦'!AX31:AX38)-'戦績'!G21-1,"")</f>
        <v>1</v>
      </c>
      <c r="K21" s="57" t="str">
        <f>IF(Q21&gt;0,"暫定"&amp;'Ｂ戦'!AZ29&amp;"位",IF(SQRT((Q21-Q22)^2)*2+N22&gt;N21,"暫定"&amp;'Ｂ戦'!AZ29&amp;"位","第"&amp;'Ｂ戦'!AZ29&amp;"位"))</f>
        <v>暫定3位</v>
      </c>
      <c r="L21" s="144" t="str">
        <f>IF($C$43&gt;$C$42,+'Ｂ戦'!BA29,"")</f>
        <v>八柱サンジュニアーズ</v>
      </c>
      <c r="M21" s="144"/>
      <c r="N21" s="57">
        <f>IF($C$43&gt;$C$42,'Ｂ戦'!BB29,"")</f>
        <v>0</v>
      </c>
      <c r="O21" s="57">
        <f>IF($C$43&gt;$C$42,+'Ｂ戦'!BC29,"")</f>
        <v>0</v>
      </c>
      <c r="P21" s="57">
        <f>IF($C$43&gt;$C$42,+'Ｂ戦'!BD29,"")</f>
        <v>1</v>
      </c>
      <c r="Q21" s="57">
        <f>IF($C$43&gt;$C$42,MAX('Ｂ戦'!AT27:AT34)-'戦績'!P21-1,"")</f>
        <v>3</v>
      </c>
      <c r="T21" s="57" t="str">
        <f>IF(Z21&gt;0,"暫定"&amp;'Ｃ戦'!BL34&amp;"位","第"&amp;'Ｃ戦'!BL34&amp;"位")</f>
        <v>第3位</v>
      </c>
      <c r="U21" s="144" t="str">
        <f>IF($C$43&gt;$C$42,+'Ｃ戦'!BM34,"")</f>
        <v>柏ヤンガーズ</v>
      </c>
      <c r="V21" s="144"/>
      <c r="W21" s="57">
        <f>IF($C$43&gt;$C$42,+'Ｃ戦'!BN34,"")</f>
        <v>5</v>
      </c>
      <c r="X21" s="57">
        <f>IF($C$43&gt;$C$42,+'Ｃ戦'!BO34,"")</f>
        <v>2</v>
      </c>
      <c r="Y21" s="57">
        <f>IF($C$43&gt;$C$42,+'Ｃ戦'!BP34,"")</f>
        <v>5</v>
      </c>
      <c r="Z21" s="57">
        <f>IF($C$43&gt;$C$42,MAX('Ｃ戦'!BF$32:BF$41)-'戦績'!Y21-1,"")</f>
        <v>0</v>
      </c>
    </row>
    <row r="23" spans="2:26" ht="14.25">
      <c r="B23" s="146" t="str">
        <f>"Dブロック             試合消化率  "&amp;ROUND('Ａ戦'!AN38*100,1)&amp;"％"</f>
        <v>Dブロック             試合消化率  100％</v>
      </c>
      <c r="C23" s="147"/>
      <c r="D23" s="147"/>
      <c r="E23" s="147"/>
      <c r="F23" s="147"/>
      <c r="G23" s="147"/>
      <c r="H23" s="148"/>
      <c r="K23" s="146" t="str">
        <f>"Dブロック             試合消化率  "&amp;ROUND('Ｂ戦'!AJ36*100,1)&amp;"％"</f>
        <v>Dブロック             試合消化率  90％</v>
      </c>
      <c r="L23" s="147"/>
      <c r="M23" s="147"/>
      <c r="N23" s="147"/>
      <c r="O23" s="147"/>
      <c r="P23" s="147"/>
      <c r="Q23" s="148"/>
      <c r="T23" s="146" t="str">
        <f>"Dブロック             試合消化率  "&amp;ROUND('Ｃ戦'!AR44*100,1)&amp;"％"</f>
        <v>Dブロック             試合消化率  93.3％</v>
      </c>
      <c r="U23" s="147"/>
      <c r="V23" s="147"/>
      <c r="W23" s="147"/>
      <c r="X23" s="147"/>
      <c r="Y23" s="147"/>
      <c r="Z23" s="148"/>
    </row>
    <row r="24" spans="2:26" ht="14.25">
      <c r="B24" s="57" t="s">
        <v>28</v>
      </c>
      <c r="C24" s="149" t="s">
        <v>29</v>
      </c>
      <c r="D24" s="149"/>
      <c r="E24" s="59" t="s">
        <v>30</v>
      </c>
      <c r="F24" s="59" t="s">
        <v>31</v>
      </c>
      <c r="G24" s="59" t="s">
        <v>34</v>
      </c>
      <c r="H24" s="59" t="s">
        <v>35</v>
      </c>
      <c r="K24" s="57" t="s">
        <v>28</v>
      </c>
      <c r="L24" s="149" t="s">
        <v>29</v>
      </c>
      <c r="M24" s="149"/>
      <c r="N24" s="59" t="s">
        <v>30</v>
      </c>
      <c r="O24" s="59" t="s">
        <v>31</v>
      </c>
      <c r="P24" s="59" t="s">
        <v>34</v>
      </c>
      <c r="Q24" s="59" t="s">
        <v>35</v>
      </c>
      <c r="T24" s="57" t="s">
        <v>28</v>
      </c>
      <c r="U24" s="149" t="s">
        <v>29</v>
      </c>
      <c r="V24" s="149"/>
      <c r="W24" s="59" t="s">
        <v>30</v>
      </c>
      <c r="X24" s="59" t="s">
        <v>31</v>
      </c>
      <c r="Y24" s="59" t="s">
        <v>34</v>
      </c>
      <c r="Z24" s="59" t="s">
        <v>35</v>
      </c>
    </row>
    <row r="25" spans="2:26" ht="14.25">
      <c r="B25" s="58" t="str">
        <f>IF(H25&gt;0,"暫定"&amp;'Ａ戦'!BD40&amp;"位",IF(SQRT((H25-H26)^2)*2+E26&gt;E25,"暫定"&amp;'Ａ戦'!BD40&amp;"位","第"&amp;'Ａ戦'!BD40&amp;"位"))</f>
        <v>第1位</v>
      </c>
      <c r="C25" s="150" t="str">
        <f>IF($C$43&gt;$C$42,+'Ａ戦'!BE40,"")</f>
        <v>常盤平ボーイズ</v>
      </c>
      <c r="D25" s="150"/>
      <c r="E25" s="58">
        <f>IF($C$43&gt;$C$42,+'Ａ戦'!BF40,"")</f>
        <v>10</v>
      </c>
      <c r="F25" s="58">
        <f>IF($C$43&gt;$C$42,+'Ａ戦'!BG40,"")</f>
        <v>5</v>
      </c>
      <c r="G25" s="58">
        <f>IF($C$43&gt;$C$42,+'Ａ戦'!BH40,"")</f>
        <v>5</v>
      </c>
      <c r="H25" s="58">
        <f>IF($C$43&gt;$C$42,MAX('Ａ戦'!AX40:AX47)-'戦績'!G25-1,"")</f>
        <v>0</v>
      </c>
      <c r="K25" s="58" t="str">
        <f>IF(Q25&gt;0,"暫定"&amp;'Ｂ戦'!AZ38&amp;"位",IF(SQRT((Q25-Q26)^2)*2+N26&gt;N25,"暫定"&amp;'Ｂ戦'!AZ38&amp;"位","第"&amp;'Ｂ戦'!AZ38&amp;"位"))</f>
        <v>第1位</v>
      </c>
      <c r="L25" s="150" t="str">
        <f>IF($C$43&gt;$C$42,+'Ｂ戦'!BA38,"")</f>
        <v>大橋みどりファイターズ</v>
      </c>
      <c r="M25" s="150"/>
      <c r="N25" s="58">
        <f>IF($C$43&gt;$C$42,'Ｂ戦'!BB38,"")</f>
        <v>8</v>
      </c>
      <c r="O25" s="58">
        <f>IF($C$43&gt;$C$42,+'Ｂ戦'!BC38,"")</f>
        <v>4</v>
      </c>
      <c r="P25" s="58">
        <f>IF($C$43&gt;$C$42,+'Ｂ戦'!BD38,"")</f>
        <v>4</v>
      </c>
      <c r="Q25" s="58">
        <f>IF($C$43&gt;$C$42,MAX('Ｂ戦'!AT38:AT45)-'戦績'!P25-1,"")</f>
        <v>0</v>
      </c>
      <c r="T25" s="58" t="str">
        <f>IF(Z25&gt;0,"暫定"&amp;'Ｃ戦'!BL46&amp;"位",IF(SQRT((Z25-Z26)^2)*2+W26&gt;W25,"暫定"&amp;'Ｃ戦'!BL46&amp;"位","第"&amp;'Ｃ戦'!BL46&amp;"位"))</f>
        <v>第1位</v>
      </c>
      <c r="U25" s="150" t="str">
        <f>IF($C$43&gt;$C$42,+'Ｃ戦'!BM46,"")</f>
        <v>牧の原ジュニアーズ</v>
      </c>
      <c r="V25" s="150"/>
      <c r="W25" s="58">
        <f>IF($C$43&gt;$C$42,+'Ｃ戦'!BN46,"")</f>
        <v>8</v>
      </c>
      <c r="X25" s="58">
        <f>IF($C$43&gt;$C$42,+'Ｃ戦'!BO46,"")</f>
        <v>4</v>
      </c>
      <c r="Y25" s="58">
        <f>IF($C$43&gt;$C$42,+'Ｃ戦'!BP46,"")</f>
        <v>5</v>
      </c>
      <c r="Z25" s="58">
        <f>IF($C$43&gt;$C$42,MAX('Ｃ戦'!BF$46:BF$54)-'戦績'!Y25-1,"")</f>
        <v>0</v>
      </c>
    </row>
    <row r="26" spans="2:26" ht="14.25">
      <c r="B26" s="57" t="str">
        <f>IF(H26&gt;0,"暫定"&amp;'Ａ戦'!BD41&amp;"位",IF(SQRT((H26-H27)^2)*2+E27&gt;E26,"暫定"&amp;'Ａ戦'!BD41&amp;"位","第"&amp;'Ａ戦'!BD41&amp;"位"))</f>
        <v>暫定2位</v>
      </c>
      <c r="C26" s="144" t="str">
        <f>IF($C$43&gt;$C$42,+'Ａ戦'!BE41,"")</f>
        <v>長崎ＦＬＢ</v>
      </c>
      <c r="D26" s="144"/>
      <c r="E26" s="57">
        <f>IF($C$43&gt;$C$42,+'Ａ戦'!BF41,"")</f>
        <v>6</v>
      </c>
      <c r="F26" s="57">
        <f>IF($C$43&gt;$C$42,+'Ａ戦'!BG41,"")</f>
        <v>3</v>
      </c>
      <c r="G26" s="57">
        <f>IF($C$43&gt;$C$42,+'Ａ戦'!BH41,"")</f>
        <v>5</v>
      </c>
      <c r="H26" s="57">
        <f>IF($C$43&gt;$C$42,MAX('Ａ戦'!AX41:AX48)-'戦績'!G26-1,"")</f>
        <v>0</v>
      </c>
      <c r="K26" s="57" t="str">
        <f>IF(Q26&gt;0,"暫定"&amp;'Ｂ戦'!AZ39&amp;"位",IF(SQRT((Q26-Q27)^2)*2+N27&gt;N26,"暫定"&amp;'Ｂ戦'!AZ39&amp;"位","第"&amp;'Ｂ戦'!AZ39&amp;"位"))</f>
        <v>暫定2位</v>
      </c>
      <c r="L26" s="144" t="str">
        <f>IF($C$43&gt;$C$42,+'Ｂ戦'!BA39,"")</f>
        <v>トライスター</v>
      </c>
      <c r="M26" s="144"/>
      <c r="N26" s="57">
        <f>IF($C$43&gt;$C$42,'Ｂ戦'!BB39,"")</f>
        <v>4</v>
      </c>
      <c r="O26" s="57">
        <f>IF($C$43&gt;$C$42,+'Ｂ戦'!BC39,"")</f>
        <v>2</v>
      </c>
      <c r="P26" s="57">
        <f>IF($C$43&gt;$C$42,+'Ｂ戦'!BD39,"")</f>
        <v>4</v>
      </c>
      <c r="Q26" s="57">
        <f>IF($C$43&gt;$C$42,MAX('Ｂ戦'!AT38:AT45)-'戦績'!P26-1,"")</f>
        <v>0</v>
      </c>
      <c r="T26" s="57" t="str">
        <f>IF(Z26&gt;0,"暫定"&amp;'Ｃ戦'!BL47&amp;"位",IF(SQRT((Z26-Z27)^2)*2+W27&gt;W26,"暫定"&amp;'Ｃ戦'!BL47&amp;"位","第"&amp;'Ｃ戦'!BL47&amp;"位"))</f>
        <v>第1位</v>
      </c>
      <c r="U26" s="144" t="str">
        <f>IF($C$43&gt;$C$42,+'Ｃ戦'!BM47,"")</f>
        <v>吉川ドリームズ</v>
      </c>
      <c r="V26" s="144"/>
      <c r="W26" s="57">
        <f>IF($C$43&gt;$C$42,+'Ｃ戦'!BN47,"")</f>
        <v>8</v>
      </c>
      <c r="X26" s="57">
        <f>IF($C$43&gt;$C$42,+'Ｃ戦'!BO47,"")</f>
        <v>4</v>
      </c>
      <c r="Y26" s="57">
        <f>IF($C$43&gt;$C$42,+'Ｃ戦'!BP47,"")</f>
        <v>5</v>
      </c>
      <c r="Z26" s="57">
        <f>IF($C$43&gt;$C$42,MAX('Ｃ戦'!BF$46:BF$54)-'戦績'!Y26-1,"")</f>
        <v>0</v>
      </c>
    </row>
    <row r="27" spans="2:26" ht="14.25">
      <c r="B27" s="57" t="str">
        <f>IF(H27&gt;0,"暫定"&amp;'Ａ戦'!BD42&amp;"位","第"&amp;'Ａ戦'!BD42&amp;"位")</f>
        <v>第2位</v>
      </c>
      <c r="C27" s="144" t="str">
        <f>IF($C$43&gt;$C$42,+'Ａ戦'!BE42,"")</f>
        <v>スーパーフェニックス</v>
      </c>
      <c r="D27" s="144"/>
      <c r="E27" s="57">
        <f>IF($C$43&gt;$C$42,+'Ａ戦'!BF42,"")</f>
        <v>6</v>
      </c>
      <c r="F27" s="57">
        <f>IF($C$43&gt;$C$42,+'Ａ戦'!BG42,"")</f>
        <v>3</v>
      </c>
      <c r="G27" s="57">
        <f>IF($C$43&gt;$C$42,+'Ａ戦'!BH42,"")</f>
        <v>5</v>
      </c>
      <c r="H27" s="57">
        <f>IF($C$43&gt;$C$42,MAX('Ａ戦'!AX42:AX49)-'戦績'!G27-1,"")</f>
        <v>-1</v>
      </c>
      <c r="K27" s="57" t="str">
        <f>IF(Q27&gt;0,"暫定"&amp;'Ｂ戦'!AZ40&amp;"位",IF(SQRT((Q27-Q28)^2)*2+N28&gt;N27,"暫定"&amp;'Ｂ戦'!AZ40&amp;"位","第"&amp;'Ｂ戦'!AZ40&amp;"位"))</f>
        <v>暫定2位</v>
      </c>
      <c r="L27" s="144" t="str">
        <f>IF($C$43&gt;$C$42,+'Ｂ戦'!BA40,"")</f>
        <v>光ヶ丘シャークス</v>
      </c>
      <c r="M27" s="144"/>
      <c r="N27" s="57">
        <f>IF($C$43&gt;$C$42,'Ｂ戦'!BB40,"")</f>
        <v>4</v>
      </c>
      <c r="O27" s="57">
        <f>IF($C$43&gt;$C$42,+'Ｂ戦'!BC40,"")</f>
        <v>2</v>
      </c>
      <c r="P27" s="57">
        <f>IF($C$43&gt;$C$42,+'Ｂ戦'!BD40,"")</f>
        <v>3</v>
      </c>
      <c r="Q27" s="57">
        <f>IF($C$43&gt;$C$42,MAX('Ｂ戦'!AT38:AT45)-'戦績'!P27-1,"")</f>
        <v>1</v>
      </c>
      <c r="T27" s="57" t="str">
        <f>IF(Z27&gt;0,"暫定"&amp;'Ｃ戦'!BL48&amp;"位","第"&amp;'Ｃ戦'!BL48&amp;"位")</f>
        <v>第3位</v>
      </c>
      <c r="U27" s="144" t="str">
        <f>IF($C$43&gt;$C$42,+'Ｃ戦'!BM48,"")</f>
        <v>セントラルパークス</v>
      </c>
      <c r="V27" s="144"/>
      <c r="W27" s="57">
        <f>IF($C$43&gt;$C$42,+'Ｃ戦'!BN48,"")</f>
        <v>4</v>
      </c>
      <c r="X27" s="57">
        <f>IF($C$43&gt;$C$42,+'Ｃ戦'!BO48,"")</f>
        <v>2</v>
      </c>
      <c r="Y27" s="57">
        <f>IF($C$43&gt;$C$42,+'Ｃ戦'!BP48,"")</f>
        <v>5</v>
      </c>
      <c r="Z27" s="57">
        <f>IF($C$43&gt;$C$42,MAX('Ｃ戦'!BF$46:BF$54)-'戦績'!Y27-1,"")</f>
        <v>0</v>
      </c>
    </row>
    <row r="29" spans="2:8" ht="14.25">
      <c r="B29" s="156"/>
      <c r="C29" s="156"/>
      <c r="D29" s="156"/>
      <c r="E29" s="156"/>
      <c r="F29" s="156"/>
      <c r="G29" s="156"/>
      <c r="H29" s="156"/>
    </row>
    <row r="30" spans="2:22" ht="14.25">
      <c r="B30" s="104"/>
      <c r="C30" s="106"/>
      <c r="D30" s="106"/>
      <c r="E30" s="105"/>
      <c r="F30" s="105"/>
      <c r="G30" s="105"/>
      <c r="H30" s="105"/>
      <c r="T30" s="152" t="s">
        <v>39</v>
      </c>
      <c r="U30" s="152"/>
      <c r="V30" s="152"/>
    </row>
    <row r="31" spans="2:24" ht="14.25">
      <c r="B31" s="104"/>
      <c r="C31" s="106"/>
      <c r="D31" s="106"/>
      <c r="E31" s="105"/>
      <c r="F31" s="105"/>
      <c r="G31" s="105"/>
      <c r="H31" s="105"/>
      <c r="U31" s="61" t="s">
        <v>40</v>
      </c>
      <c r="V31" s="61" t="s">
        <v>41</v>
      </c>
      <c r="W31" s="145" t="s">
        <v>54</v>
      </c>
      <c r="X31" s="145"/>
    </row>
    <row r="32" spans="2:24" ht="14.25">
      <c r="B32" s="104"/>
      <c r="C32" s="106"/>
      <c r="D32" s="106"/>
      <c r="E32" s="105"/>
      <c r="F32" s="105"/>
      <c r="G32" s="105"/>
      <c r="H32" s="105"/>
      <c r="T32" s="62" t="s">
        <v>42</v>
      </c>
      <c r="U32">
        <f>+'Ａ戦'!BM52</f>
        <v>58</v>
      </c>
      <c r="V32" s="64">
        <f>+'Ａ戦'!BO52</f>
        <v>0.8787878787878788</v>
      </c>
      <c r="X32" s="74" t="str">
        <f>"１日"&amp;ROUND(('Ａ戦'!BN52-'Ａ戦'!BM52)/N42,1)&amp;"試合"</f>
        <v>１日-0.1試合</v>
      </c>
    </row>
    <row r="33" spans="2:24" ht="14.25">
      <c r="B33" s="104"/>
      <c r="C33" s="106"/>
      <c r="D33" s="106"/>
      <c r="E33" s="105"/>
      <c r="F33" s="105"/>
      <c r="G33" s="105"/>
      <c r="H33" s="105"/>
      <c r="T33" s="62" t="s">
        <v>43</v>
      </c>
      <c r="U33">
        <f>+'Ｂ戦'!BI50</f>
        <v>26</v>
      </c>
      <c r="V33" s="64">
        <f>+'Ｂ戦'!BK50</f>
        <v>0.65</v>
      </c>
      <c r="X33" s="74" t="str">
        <f>"１日"&amp;ROUND(('Ｂ戦'!BJ50-'Ｂ戦'!BI50)/N42,1)&amp;"試合"</f>
        <v>１日-0.1試合</v>
      </c>
    </row>
    <row r="34" spans="2:24" ht="14.25">
      <c r="B34" s="104"/>
      <c r="C34" s="106"/>
      <c r="D34" s="106"/>
      <c r="E34" s="105"/>
      <c r="F34" s="105"/>
      <c r="G34" s="105"/>
      <c r="H34" s="105"/>
      <c r="T34" s="62" t="s">
        <v>44</v>
      </c>
      <c r="U34">
        <f>+'Ｃ戦'!BU60</f>
        <v>49.5</v>
      </c>
      <c r="V34" s="64">
        <f>+'Ｃ戦'!BW60</f>
        <v>1.375</v>
      </c>
      <c r="X34" s="74" t="str">
        <f>"１日"&amp;ROUND(('Ｃ戦'!BV60-'Ｃ戦'!BU60)/N42,1)&amp;"試合"</f>
        <v>１日0.1試合</v>
      </c>
    </row>
    <row r="35" spans="2:8" ht="14.25">
      <c r="B35" s="104"/>
      <c r="C35" s="106"/>
      <c r="D35" s="106"/>
      <c r="E35" s="105"/>
      <c r="F35" s="105"/>
      <c r="G35" s="105"/>
      <c r="H35" s="105"/>
    </row>
    <row r="36" spans="2:22" ht="14.25">
      <c r="B36" s="104"/>
      <c r="C36" s="106"/>
      <c r="D36" s="106"/>
      <c r="E36" s="105"/>
      <c r="F36" s="105"/>
      <c r="G36" s="105"/>
      <c r="H36" s="105"/>
      <c r="T36" s="154" t="s">
        <v>45</v>
      </c>
      <c r="U36" s="152"/>
      <c r="V36" s="152"/>
    </row>
    <row r="37" spans="2:22" ht="14.25">
      <c r="B37" s="104"/>
      <c r="C37" s="106"/>
      <c r="D37" s="106"/>
      <c r="E37" s="105"/>
      <c r="F37" s="105"/>
      <c r="G37" s="105"/>
      <c r="H37" s="105"/>
      <c r="U37" s="153">
        <f>(U32+U33+U34)/('Ａ戦'!BN52+'Ｂ戦'!BJ50+'Ｃ戦'!BV60)</f>
        <v>0.9401408450704225</v>
      </c>
      <c r="V37" s="153"/>
    </row>
    <row r="38" spans="2:23" ht="14.25">
      <c r="B38" s="104"/>
      <c r="C38" s="106"/>
      <c r="D38" s="106"/>
      <c r="E38" s="105"/>
      <c r="F38" s="105"/>
      <c r="G38" s="105"/>
      <c r="H38" s="105"/>
      <c r="T38" s="62" t="s">
        <v>46</v>
      </c>
      <c r="U38" s="151">
        <f ca="1">TODAY()</f>
        <v>45327</v>
      </c>
      <c r="V38" s="152"/>
      <c r="W38" t="s">
        <v>47</v>
      </c>
    </row>
    <row r="39" spans="2:8" ht="14.25">
      <c r="B39" s="104"/>
      <c r="C39" s="106"/>
      <c r="D39" s="106"/>
      <c r="E39" s="105"/>
      <c r="F39" s="105"/>
      <c r="G39" s="105"/>
      <c r="H39" s="105"/>
    </row>
    <row r="42" spans="3:15" ht="13.5">
      <c r="C42" s="70">
        <f>DATE(2022,7,1)</f>
        <v>44743</v>
      </c>
      <c r="M42" t="s">
        <v>52</v>
      </c>
      <c r="N42" s="72">
        <f>+C53</f>
        <v>-115</v>
      </c>
      <c r="O42" t="s">
        <v>51</v>
      </c>
    </row>
    <row r="43" ht="13.5">
      <c r="C43" s="71">
        <f>+M1</f>
        <v>45327</v>
      </c>
    </row>
    <row r="47" ht="13.5">
      <c r="C47" s="71">
        <f>+C43</f>
        <v>45327</v>
      </c>
    </row>
    <row r="48" ht="13.5">
      <c r="C48" s="71"/>
    </row>
    <row r="49" ht="13.5">
      <c r="C49" s="70">
        <f>DATE(2022,10,31)</f>
        <v>44865</v>
      </c>
    </row>
    <row r="50" ht="13.5">
      <c r="C50" s="70">
        <f>DATE(2022,11,30)</f>
        <v>44895</v>
      </c>
    </row>
    <row r="51" ht="13.5">
      <c r="C51" s="70"/>
    </row>
    <row r="53" spans="3:4" ht="13.5">
      <c r="C53" s="71">
        <f>ROUNDUP((C55-C56)*2/7,0)+E55+E56</f>
        <v>-115</v>
      </c>
      <c r="D53" t="s">
        <v>51</v>
      </c>
    </row>
    <row r="54" spans="2:4" ht="13.5">
      <c r="B54" s="62"/>
      <c r="C54" s="71"/>
      <c r="D54" s="71"/>
    </row>
    <row r="55" spans="2:5" ht="13.5">
      <c r="B55" s="62"/>
      <c r="C55" s="70">
        <f>DATE(2022,12,31)</f>
        <v>44926</v>
      </c>
      <c r="D55" s="70">
        <f>DATE(2022,11,30)</f>
        <v>44895</v>
      </c>
      <c r="E55">
        <f>IF(D55&gt;C56,1,0)</f>
        <v>0</v>
      </c>
    </row>
    <row r="56" spans="2:5" ht="13.5">
      <c r="B56" s="62"/>
      <c r="C56" s="70">
        <f>+U38</f>
        <v>45327</v>
      </c>
      <c r="D56" s="70">
        <v>44927</v>
      </c>
      <c r="E56">
        <f>IF(D56&gt;C56,1,0)</f>
        <v>0</v>
      </c>
    </row>
  </sheetData>
  <sheetProtection/>
  <mergeCells count="69">
    <mergeCell ref="C13:D13"/>
    <mergeCell ref="B3:H3"/>
    <mergeCell ref="C12:D12"/>
    <mergeCell ref="C7:D7"/>
    <mergeCell ref="C8:D8"/>
    <mergeCell ref="C9:D9"/>
    <mergeCell ref="B11:H11"/>
    <mergeCell ref="C6:D6"/>
    <mergeCell ref="B5:H5"/>
    <mergeCell ref="C27:D27"/>
    <mergeCell ref="B29:H29"/>
    <mergeCell ref="C25:D25"/>
    <mergeCell ref="C26:D26"/>
    <mergeCell ref="C19:D19"/>
    <mergeCell ref="B23:H23"/>
    <mergeCell ref="C24:D24"/>
    <mergeCell ref="C20:D20"/>
    <mergeCell ref="C21:D21"/>
    <mergeCell ref="C15:D15"/>
    <mergeCell ref="B17:H17"/>
    <mergeCell ref="C14:D14"/>
    <mergeCell ref="C18:D18"/>
    <mergeCell ref="K3:Q3"/>
    <mergeCell ref="U8:V8"/>
    <mergeCell ref="K5:Q5"/>
    <mergeCell ref="L6:M6"/>
    <mergeCell ref="L7:M7"/>
    <mergeCell ref="L8:M8"/>
    <mergeCell ref="T3:Z3"/>
    <mergeCell ref="T5:Z5"/>
    <mergeCell ref="U6:V6"/>
    <mergeCell ref="U7:V7"/>
    <mergeCell ref="L12:M12"/>
    <mergeCell ref="L13:M13"/>
    <mergeCell ref="L9:M9"/>
    <mergeCell ref="K11:Q11"/>
    <mergeCell ref="U9:V9"/>
    <mergeCell ref="L18:M18"/>
    <mergeCell ref="L14:M14"/>
    <mergeCell ref="L15:M15"/>
    <mergeCell ref="L19:M19"/>
    <mergeCell ref="L20:M20"/>
    <mergeCell ref="K17:Q17"/>
    <mergeCell ref="U18:V18"/>
    <mergeCell ref="U19:V19"/>
    <mergeCell ref="T11:Z11"/>
    <mergeCell ref="U12:V12"/>
    <mergeCell ref="U13:V13"/>
    <mergeCell ref="U21:V21"/>
    <mergeCell ref="U20:V20"/>
    <mergeCell ref="U14:V14"/>
    <mergeCell ref="U15:V15"/>
    <mergeCell ref="T17:Z17"/>
    <mergeCell ref="L21:M21"/>
    <mergeCell ref="K23:Q23"/>
    <mergeCell ref="L25:M25"/>
    <mergeCell ref="L24:M24"/>
    <mergeCell ref="U38:V38"/>
    <mergeCell ref="U37:V37"/>
    <mergeCell ref="L26:M26"/>
    <mergeCell ref="L27:M27"/>
    <mergeCell ref="T30:V30"/>
    <mergeCell ref="T36:V36"/>
    <mergeCell ref="U27:V27"/>
    <mergeCell ref="W31:X31"/>
    <mergeCell ref="T23:Z23"/>
    <mergeCell ref="U24:V24"/>
    <mergeCell ref="U25:V25"/>
    <mergeCell ref="U26:V26"/>
  </mergeCells>
  <conditionalFormatting sqref="B14:B15 B8:B9 E14:H15 B7:H7 E20:H21 B20:B21 E26:H27 B19:H19 B25:H25 B26:B27 T7:Z9 B13:H13 T13:Z15 T19:Z21 T25:Z27">
    <cfRule type="cellIs" priority="3" dxfId="255" operator="equal" stopIfTrue="1">
      <formula>$H$7=0</formula>
    </cfRule>
  </conditionalFormatting>
  <conditionalFormatting sqref="N42">
    <cfRule type="cellIs" priority="5" dxfId="258" operator="lessThan" stopIfTrue="1">
      <formula>7</formula>
    </cfRule>
  </conditionalFormatting>
  <conditionalFormatting sqref="K14:K15 K8:K9 N14:Q15 K7:Q7 N20:Q21 K20:K21 N26:Q27 K19:Q19 K25:Q25 K26:K27 K13:Q13">
    <cfRule type="cellIs" priority="1" dxfId="255" operator="equal" stopIfTrue="1">
      <formula>$H$7=0</formula>
    </cfRule>
  </conditionalFormatting>
  <printOptions/>
  <pageMargins left="0.75" right="0.75" top="0.48" bottom="0.38" header="0.3" footer="0.25"/>
  <pageSetup horizontalDpi="200" verticalDpi="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4:G15"/>
  <sheetViews>
    <sheetView tabSelected="1" zoomScalePageLayoutView="0" workbookViewId="0" topLeftCell="A1">
      <selection activeCell="F25" sqref="F25"/>
    </sheetView>
  </sheetViews>
  <sheetFormatPr defaultColWidth="9.00390625" defaultRowHeight="13.5"/>
  <cols>
    <col min="1" max="1" width="9.00390625" style="84" customWidth="1"/>
    <col min="2" max="2" width="17.875" style="84" customWidth="1"/>
    <col min="3" max="3" width="9.00390625" style="84" customWidth="1"/>
    <col min="4" max="4" width="21.75390625" style="84" customWidth="1"/>
    <col min="5" max="5" width="14.25390625" style="84" customWidth="1"/>
    <col min="6" max="6" width="13.375" style="84" customWidth="1"/>
    <col min="7" max="7" width="17.875" style="84" customWidth="1"/>
    <col min="8" max="8" width="9.00390625" style="84" customWidth="1"/>
    <col min="9" max="9" width="18.375" style="84" customWidth="1"/>
    <col min="10" max="16384" width="9.00390625" style="84" customWidth="1"/>
  </cols>
  <sheetData>
    <row r="4" ht="13.5">
      <c r="B4" s="84" t="s">
        <v>42</v>
      </c>
    </row>
    <row r="6" spans="2:6" ht="13.5">
      <c r="B6" s="85" t="s">
        <v>62</v>
      </c>
      <c r="C6" s="85" t="s">
        <v>58</v>
      </c>
      <c r="D6" s="85" t="s">
        <v>59</v>
      </c>
      <c r="E6" s="85" t="s">
        <v>60</v>
      </c>
      <c r="F6" s="86" t="s">
        <v>61</v>
      </c>
    </row>
    <row r="7" spans="2:7" ht="13.5" customHeight="1">
      <c r="B7" s="85" t="str">
        <f>+'Ａ戦'!B57</f>
        <v>高塚新田ラークス</v>
      </c>
      <c r="C7" s="157" t="s">
        <v>105</v>
      </c>
      <c r="D7" s="159" t="s">
        <v>104</v>
      </c>
      <c r="E7" s="85"/>
      <c r="F7" s="85"/>
      <c r="G7" s="87"/>
    </row>
    <row r="8" spans="2:6" ht="13.5">
      <c r="B8" s="85" t="str">
        <f>+'Ａ戦'!M57</f>
        <v>常盤平ボーイズ</v>
      </c>
      <c r="C8" s="158"/>
      <c r="D8" s="160"/>
      <c r="E8" s="85"/>
      <c r="F8" s="85"/>
    </row>
    <row r="11" ht="13.5">
      <c r="B11" s="84" t="s">
        <v>44</v>
      </c>
    </row>
    <row r="13" spans="2:6" ht="13.5">
      <c r="B13" s="85" t="s">
        <v>62</v>
      </c>
      <c r="C13" s="85" t="s">
        <v>58</v>
      </c>
      <c r="D13" s="85" t="s">
        <v>59</v>
      </c>
      <c r="E13" s="85" t="s">
        <v>60</v>
      </c>
      <c r="F13" s="86" t="s">
        <v>61</v>
      </c>
    </row>
    <row r="14" spans="2:6" ht="13.5">
      <c r="B14" s="85" t="str">
        <f>+'Ｃ戦'!F63</f>
        <v>大橋みどりファイターズ</v>
      </c>
      <c r="C14" s="157" t="s">
        <v>106</v>
      </c>
      <c r="D14" s="161" t="s">
        <v>107</v>
      </c>
      <c r="E14" s="85"/>
      <c r="F14" s="85"/>
    </row>
    <row r="15" spans="2:6" ht="13.5">
      <c r="B15" s="85" t="str">
        <f>+'Ｃ戦'!I63</f>
        <v>木刈ファイターズ</v>
      </c>
      <c r="C15" s="158"/>
      <c r="D15" s="162"/>
      <c r="E15" s="85"/>
      <c r="F15" s="85"/>
    </row>
  </sheetData>
  <sheetProtection/>
  <mergeCells count="4">
    <mergeCell ref="C14:C15"/>
    <mergeCell ref="D14:D15"/>
    <mergeCell ref="C7:C8"/>
    <mergeCell ref="D7:D8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Q63"/>
  <sheetViews>
    <sheetView zoomScaleSheetLayoutView="100" workbookViewId="0" topLeftCell="A35">
      <selection activeCell="AF59" sqref="AF59"/>
    </sheetView>
  </sheetViews>
  <sheetFormatPr defaultColWidth="9.00390625" defaultRowHeight="19.5" customHeight="1"/>
  <cols>
    <col min="1" max="1" width="15.125" style="3" customWidth="1"/>
    <col min="2" max="5" width="2.625" style="3" customWidth="1"/>
    <col min="6" max="6" width="2.875" style="3" customWidth="1"/>
    <col min="7" max="37" width="2.625" style="3" customWidth="1"/>
    <col min="38" max="50" width="3.625" style="3" customWidth="1"/>
    <col min="51" max="51" width="12.875" style="3" customWidth="1"/>
    <col min="52" max="52" width="4.625" style="3" customWidth="1"/>
    <col min="53" max="53" width="4.375" style="3" customWidth="1"/>
    <col min="54" max="54" width="4.25390625" style="3" customWidth="1"/>
    <col min="55" max="55" width="4.75390625" style="3" customWidth="1"/>
    <col min="56" max="56" width="5.625" style="3" customWidth="1"/>
    <col min="57" max="57" width="11.375" style="3" customWidth="1"/>
    <col min="58" max="58" width="5.625" style="3" customWidth="1"/>
    <col min="59" max="59" width="4.25390625" style="3" customWidth="1"/>
    <col min="60" max="60" width="4.875" style="3" customWidth="1"/>
    <col min="61" max="61" width="3.00390625" style="3" customWidth="1"/>
    <col min="62" max="63" width="4.875" style="3" customWidth="1"/>
    <col min="64" max="64" width="11.875" style="3" customWidth="1"/>
    <col min="65" max="65" width="3.75390625" style="3" customWidth="1"/>
    <col min="66" max="66" width="3.00390625" style="3" customWidth="1"/>
    <col min="67" max="67" width="4.50390625" style="3" customWidth="1"/>
    <col min="68" max="68" width="15.00390625" style="3" customWidth="1"/>
    <col min="69" max="69" width="6.00390625" style="3" customWidth="1"/>
    <col min="70" max="70" width="4.375" style="3" customWidth="1"/>
    <col min="71" max="71" width="4.75390625" style="3" customWidth="1"/>
    <col min="72" max="72" width="17.125" style="3" customWidth="1"/>
    <col min="73" max="16384" width="9.00390625" style="3" customWidth="1"/>
  </cols>
  <sheetData>
    <row r="1" spans="1:51" ht="19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</row>
    <row r="2" spans="1:51" ht="19.5" customHeight="1">
      <c r="A2" s="4" t="s">
        <v>48</v>
      </c>
      <c r="B2" s="73" t="s">
        <v>53</v>
      </c>
      <c r="C2" s="51"/>
      <c r="D2" s="51"/>
      <c r="E2" s="51"/>
      <c r="F2" s="51"/>
      <c r="G2" s="171" t="str">
        <f>"１日"&amp;ROUND((BN13-BM13)/'戦績'!N42,1)&amp;"試合"</f>
        <v>１日0試合</v>
      </c>
      <c r="H2" s="171"/>
      <c r="I2" s="171"/>
      <c r="J2" s="171"/>
      <c r="K2" s="163" t="s">
        <v>23</v>
      </c>
      <c r="L2" s="163"/>
      <c r="M2" s="163"/>
      <c r="N2" s="163"/>
      <c r="O2" s="165">
        <f>IF(C63&gt;C62,+BE4,"")</f>
      </c>
      <c r="P2" s="165"/>
      <c r="Q2" s="165"/>
      <c r="R2" s="165"/>
      <c r="S2" s="165"/>
      <c r="T2" s="52"/>
      <c r="U2" s="163" t="s">
        <v>24</v>
      </c>
      <c r="V2" s="163"/>
      <c r="W2" s="163"/>
      <c r="X2" s="163"/>
      <c r="Y2" s="165">
        <f>IF(C63&gt;C62,BE5,"")</f>
      </c>
      <c r="Z2" s="165"/>
      <c r="AA2" s="165"/>
      <c r="AB2" s="165"/>
      <c r="AC2" s="165"/>
      <c r="AD2" s="165"/>
      <c r="AE2" s="165"/>
      <c r="AF2" s="165"/>
      <c r="AG2" s="165"/>
      <c r="AH2" s="165"/>
      <c r="AI2" s="1"/>
      <c r="AJ2" s="54" t="s">
        <v>26</v>
      </c>
      <c r="AK2" s="1"/>
      <c r="AL2" s="1"/>
      <c r="AM2" s="1"/>
      <c r="AN2" s="169">
        <f>+BM13/(MAX(AX4:AX12)*(MAX(AX4:AX12)-1)/2)</f>
        <v>0.8571428571428571</v>
      </c>
      <c r="AO2" s="169"/>
      <c r="AP2" s="60">
        <f>IF(AP1=AQ1,"","計算間違い")</f>
      </c>
      <c r="AQ2" s="1"/>
      <c r="AR2" s="1"/>
      <c r="AS2" s="1"/>
      <c r="AT2" s="60">
        <f>IF(AR1/2=TRUNC(AR1/2,0),"","計算間違い")</f>
      </c>
      <c r="AU2" s="1"/>
      <c r="AV2" s="1"/>
      <c r="AW2" s="1"/>
      <c r="AX2" s="1"/>
      <c r="AY2" s="1"/>
    </row>
    <row r="3" spans="1:65" ht="19.5" customHeight="1">
      <c r="A3" s="5"/>
      <c r="B3" s="164" t="str">
        <f>+A4</f>
        <v>根木内ヤングスターズ</v>
      </c>
      <c r="C3" s="164"/>
      <c r="D3" s="164"/>
      <c r="E3" s="164"/>
      <c r="F3" s="164" t="str">
        <f>+A5</f>
        <v>松戸スラッガーズ</v>
      </c>
      <c r="G3" s="164"/>
      <c r="H3" s="164"/>
      <c r="I3" s="164"/>
      <c r="J3" s="164" t="str">
        <f>+A6</f>
        <v>野菊野ファイターズ</v>
      </c>
      <c r="K3" s="164"/>
      <c r="L3" s="164"/>
      <c r="M3" s="164"/>
      <c r="N3" s="164" t="str">
        <f>+A7</f>
        <v>高塚新田ラークス</v>
      </c>
      <c r="O3" s="164"/>
      <c r="P3" s="164"/>
      <c r="Q3" s="164"/>
      <c r="R3" s="164" t="str">
        <f>+A8</f>
        <v>ありんこアントス</v>
      </c>
      <c r="S3" s="164"/>
      <c r="T3" s="164"/>
      <c r="U3" s="164"/>
      <c r="V3" s="164" t="str">
        <f>+A9</f>
        <v>柏ヤンガーズ</v>
      </c>
      <c r="W3" s="164"/>
      <c r="X3" s="164"/>
      <c r="Y3" s="164"/>
      <c r="Z3" s="164" t="str">
        <f>+A10</f>
        <v>七次台ジャガース</v>
      </c>
      <c r="AA3" s="164"/>
      <c r="AB3" s="164"/>
      <c r="AC3" s="164"/>
      <c r="AD3" s="164"/>
      <c r="AE3" s="164"/>
      <c r="AF3" s="164"/>
      <c r="AG3" s="164"/>
      <c r="AH3" s="164"/>
      <c r="AI3" s="164"/>
      <c r="AJ3" s="164"/>
      <c r="AK3" s="164"/>
      <c r="AL3" s="25" t="s">
        <v>4</v>
      </c>
      <c r="AM3" s="25" t="s">
        <v>5</v>
      </c>
      <c r="AN3" s="25" t="s">
        <v>6</v>
      </c>
      <c r="AO3" s="26" t="s">
        <v>11</v>
      </c>
      <c r="AP3" s="27" t="s">
        <v>12</v>
      </c>
      <c r="AQ3" s="28" t="s">
        <v>13</v>
      </c>
      <c r="AR3" s="29" t="s">
        <v>7</v>
      </c>
      <c r="AS3" s="25" t="s">
        <v>8</v>
      </c>
      <c r="AT3" s="25" t="s">
        <v>9</v>
      </c>
      <c r="AU3" s="25" t="s">
        <v>10</v>
      </c>
      <c r="AV3" s="1"/>
      <c r="AW3" s="1"/>
      <c r="AY3" s="3" t="s">
        <v>17</v>
      </c>
      <c r="AZ3" s="3" t="s">
        <v>18</v>
      </c>
      <c r="BL3" s="3" t="s">
        <v>17</v>
      </c>
      <c r="BM3" s="3" t="s">
        <v>19</v>
      </c>
    </row>
    <row r="4" spans="1:68" ht="19.5" customHeight="1">
      <c r="A4" s="108" t="s">
        <v>70</v>
      </c>
      <c r="B4" s="36"/>
      <c r="C4" s="37"/>
      <c r="D4" s="37"/>
      <c r="E4" s="38"/>
      <c r="F4" s="36"/>
      <c r="G4" s="37">
        <f>IF(E5="","",E5)</f>
      </c>
      <c r="H4" s="37"/>
      <c r="I4" s="38">
        <f>IF(C5="","",C5)</f>
      </c>
      <c r="J4" s="36"/>
      <c r="K4" s="37">
        <f>IF(E6="","",E6)</f>
        <v>1</v>
      </c>
      <c r="L4" s="37"/>
      <c r="M4" s="38">
        <f>IF(C6="","",C6)</f>
        <v>10</v>
      </c>
      <c r="N4" s="36"/>
      <c r="O4" s="37">
        <f>IF(E7="","",E7)</f>
        <v>5</v>
      </c>
      <c r="P4" s="37"/>
      <c r="Q4" s="38">
        <f>IF(C7="","",C7)</f>
        <v>7</v>
      </c>
      <c r="R4" s="36"/>
      <c r="S4" s="37">
        <f>IF(E8="","",E8)</f>
        <v>8</v>
      </c>
      <c r="T4" s="37"/>
      <c r="U4" s="38">
        <f>IF(C8="","",C8)</f>
        <v>7</v>
      </c>
      <c r="V4" s="36"/>
      <c r="W4" s="37">
        <f>IF(E9="","",E9)</f>
      </c>
      <c r="X4" s="37"/>
      <c r="Y4" s="38">
        <f>IF(C9="","",C9)</f>
      </c>
      <c r="Z4" s="36"/>
      <c r="AA4" s="37">
        <f>IF(E10="","",E10)</f>
        <v>9</v>
      </c>
      <c r="AB4" s="37"/>
      <c r="AC4" s="38">
        <f>IF(C10="","",C10)</f>
        <v>1</v>
      </c>
      <c r="AD4" s="36"/>
      <c r="AE4" s="37">
        <f>IF(E11="","",E11)</f>
      </c>
      <c r="AF4" s="37"/>
      <c r="AG4" s="38">
        <f>IF(C11="","",E11)</f>
      </c>
      <c r="AH4" s="36"/>
      <c r="AI4" s="37">
        <f>IF(E12="","",E12)</f>
      </c>
      <c r="AJ4" s="37"/>
      <c r="AK4" s="38">
        <f>IF(C12="","",C12)</f>
      </c>
      <c r="AL4" s="30">
        <f>IF(C4&gt;E4,1,0)+IF(G4&gt;I4,1,0)+IF(K4&gt;M4,1,0)+IF(O4&gt;Q4,1,0)+IF(S4&gt;U4,1,0)+IF(W4&gt;Y4,1,0)+IF(AA4&gt;AC4,1,0)+IF(AI4&gt;AK4,1,0)+IF(AE4&gt;AG4,1,0)</f>
        <v>2</v>
      </c>
      <c r="AM4" s="30">
        <f>IF(C4&lt;E4,1,0)+IF(G4&lt;I4,1,0)+IF(K4&lt;M4,1,0)+IF(O4&lt;Q4,1,0)+IF(S4&lt;U4,1,0)+IF(W4&lt;Y4,1,0)+IF(AA4&lt;AC4,1,0)+IF(AI4&lt;AK4,1,0)+IF(AE4&lt;AG4,1,0)</f>
        <v>2</v>
      </c>
      <c r="AN4" s="30">
        <f>IF(AND(ISNUMBER(C4),C4=E4),1,0)+IF(AND(ISNUMBER(G4),G4=I4),1,0)+IF(AND(ISNUMBER(K4),K4=M4),1,)+IF(AND(ISNUMBER(O4),O4=Q4),1,0)+IF(AND(ISNUMBER(S4),S4=U4),1,0)+IF(AND(ISNUMBER(W4),W4=Y4),1,0)+IF(AND(ISNUMBER(AA4),AA4=AC4),1,0)+IF(AND(ISNUMBER(AI4),AI4=AK4),1,0)+IF(AND(ISNUMBER(AE4),AE4=AG4),1,0)</f>
        <v>0</v>
      </c>
      <c r="AO4" s="31">
        <f aca="true" t="shared" si="0" ref="AO4:AO9">AL4*2</f>
        <v>4</v>
      </c>
      <c r="AP4" s="32">
        <f aca="true" t="shared" si="1" ref="AP4:AP9">AM4*0</f>
        <v>0</v>
      </c>
      <c r="AQ4" s="33">
        <f aca="true" t="shared" si="2" ref="AQ4:AQ9">AN4*1</f>
        <v>0</v>
      </c>
      <c r="AR4" s="34">
        <f aca="true" t="shared" si="3" ref="AR4:AR9">AO4+AP4+AQ4</f>
        <v>4</v>
      </c>
      <c r="AS4" s="30">
        <f>IF(ISNUMBER(G4),G4,0)+IF(ISNUMBER(K4),K4,0)+IF(ISNUMBER(O4),O4,0)+IF(ISNUMBER(AA4),AA4,0)+IF(ISNUMBER(AI4),AI4,0)+IF(ISNUMBER(S4),S4,0)+IF(ISNUMBER(W4),W4,0)+IF(ISNUMBER(C4),C4,0)+IF(ISNUMBER(AE4),AE4,0)</f>
        <v>23</v>
      </c>
      <c r="AT4" s="30">
        <f>IF(ISNUMBER(I4),I4,0)+IF(ISNUMBER(M4),M4,0)+IF(ISNUMBER(Q4),Q4,0)+IF(ISNUMBER(AC4),AC4,0)+IF(ISNUMBER(AK4),AK4,0)+IF(ISNUMBER(U4),U4,0)+IF(ISNUMBER(Y4),Y4,0)+IF(ISNUMBER(E4),E4,0)+IF(ISNUMBER(AG4),AG4,0)</f>
        <v>25</v>
      </c>
      <c r="AU4" s="30">
        <f aca="true" t="shared" si="4" ref="AU4:AU9">AS4-AT4</f>
        <v>-2</v>
      </c>
      <c r="AV4" s="1"/>
      <c r="AW4" s="1"/>
      <c r="AX4" s="42">
        <f>BC4+COUNTIF(BC3:BC$3,BC4)</f>
        <v>4</v>
      </c>
      <c r="AY4" s="44" t="str">
        <f aca="true" t="shared" si="5" ref="AY4:AY9">+A4</f>
        <v>根木内ヤングスターズ</v>
      </c>
      <c r="AZ4" s="42">
        <f aca="true" t="shared" si="6" ref="AZ4:AZ9">+AR4</f>
        <v>4</v>
      </c>
      <c r="BA4" s="42">
        <f aca="true" t="shared" si="7" ref="BA4:BA9">+AL4</f>
        <v>2</v>
      </c>
      <c r="BB4" s="42">
        <f aca="true" t="shared" si="8" ref="BB4:BB9">+AL4+AM4+AN4</f>
        <v>4</v>
      </c>
      <c r="BC4" s="42">
        <f>RANK(AZ4,AZ$4:AZ$10)</f>
        <v>4</v>
      </c>
      <c r="BD4" s="43">
        <f>VLOOKUP(ROW(BB1),$AX$4:$BD$10,6,FALSE)</f>
        <v>1</v>
      </c>
      <c r="BE4" s="45" t="str">
        <f aca="true" t="shared" si="9" ref="BE4:BE9">VLOOKUP(ROW(BB1),$AX$4:$BC$10,2,FALSE)</f>
        <v>高塚新田ラークス</v>
      </c>
      <c r="BF4" s="45">
        <f>VLOOKUP(ROW(BB1),$AX$4:$BC$10,3,FALSE)</f>
        <v>12</v>
      </c>
      <c r="BG4" s="45">
        <f>VLOOKUP(ROW(BB1),$AX$4:$BC$10,4,FALSE)</f>
        <v>6</v>
      </c>
      <c r="BH4" s="45">
        <f>VLOOKUP(ROW(BB1),$AX$4:$BC$10,5,FALSE)</f>
        <v>6</v>
      </c>
      <c r="BI4" s="55"/>
      <c r="BK4" s="42">
        <f>BN4+COUNTIF(BN$3:BN3,BN4)</f>
        <v>5</v>
      </c>
      <c r="BL4" s="44" t="str">
        <f aca="true" t="shared" si="10" ref="BL4:BL9">+AY4</f>
        <v>根木内ヤングスターズ</v>
      </c>
      <c r="BM4" s="42">
        <f>COUNT(B4:AG4)/2</f>
        <v>4</v>
      </c>
      <c r="BN4" s="42">
        <f>RANK(BM4,BM$4:BM$10)</f>
        <v>5</v>
      </c>
      <c r="BO4" s="43">
        <f>VLOOKUP(ROW(BP1),$BK$4:$BN$10,4,FALSE)</f>
        <v>1</v>
      </c>
      <c r="BP4" s="45" t="str">
        <f>VLOOKUP(ROW(BP1),$BK$4:$BN$10,2,FALSE)</f>
        <v>野菊野ファイターズ</v>
      </c>
    </row>
    <row r="5" spans="1:68" ht="19.5" customHeight="1">
      <c r="A5" s="108" t="s">
        <v>84</v>
      </c>
      <c r="B5" s="36"/>
      <c r="C5" s="37"/>
      <c r="D5" s="37"/>
      <c r="E5" s="38"/>
      <c r="F5" s="36"/>
      <c r="G5" s="37"/>
      <c r="H5" s="37"/>
      <c r="I5" s="38"/>
      <c r="J5" s="36"/>
      <c r="K5" s="37">
        <f>IF(I6="","",I6)</f>
        <v>1</v>
      </c>
      <c r="L5" s="37"/>
      <c r="M5" s="38">
        <f>IF(G6="","",G6)</f>
        <v>5</v>
      </c>
      <c r="N5" s="36"/>
      <c r="O5" s="37">
        <f>IF(I7="","",I7)</f>
        <v>0</v>
      </c>
      <c r="P5" s="37"/>
      <c r="Q5" s="38">
        <f>IF(G7="","",G7)</f>
        <v>10</v>
      </c>
      <c r="R5" s="36"/>
      <c r="S5" s="37">
        <f>IF(I8="","",I8)</f>
        <v>2</v>
      </c>
      <c r="T5" s="37"/>
      <c r="U5" s="38">
        <f>IF(G8="","",G8)</f>
        <v>2</v>
      </c>
      <c r="V5" s="36"/>
      <c r="W5" s="37">
        <f>IF(I9="","",I9)</f>
      </c>
      <c r="X5" s="37"/>
      <c r="Y5" s="38">
        <f>IF(G9="","",G9)</f>
      </c>
      <c r="Z5" s="36"/>
      <c r="AA5" s="37">
        <f>IF(I10="","",I10)</f>
        <v>2</v>
      </c>
      <c r="AB5" s="37"/>
      <c r="AC5" s="38">
        <f>IF(G10="","",G10)</f>
        <v>3</v>
      </c>
      <c r="AD5" s="36"/>
      <c r="AE5" s="37">
        <f>IF(I11="","",I11)</f>
      </c>
      <c r="AF5" s="37"/>
      <c r="AG5" s="38">
        <f>IF(G11="","",G11)</f>
      </c>
      <c r="AH5" s="36"/>
      <c r="AI5" s="37">
        <f>IF(I12="","",I12)</f>
      </c>
      <c r="AJ5" s="37"/>
      <c r="AK5" s="38">
        <f>IF(G12="","",G12)</f>
      </c>
      <c r="AL5" s="30">
        <f aca="true" t="shared" si="11" ref="AL5:AL12">IF(C5&gt;E5,1,0)+IF(G5&gt;I5,1,0)+IF(K5&gt;M5,1,0)+IF(O5&gt;Q5,1,0)+IF(S5&gt;U5,1,0)+IF(W5&gt;Y5,1,0)+IF(AA5&gt;AC5,1,0)+IF(AI5&gt;AK5,1,0)+IF(AE5&gt;AG5,1,0)</f>
        <v>0</v>
      </c>
      <c r="AM5" s="30">
        <f aca="true" t="shared" si="12" ref="AM5:AM12">IF(C5&lt;E5,1,0)+IF(G5&lt;I5,1,0)+IF(K5&lt;M5,1,0)+IF(O5&lt;Q5,1,0)+IF(S5&lt;U5,1,0)+IF(W5&lt;Y5,1,0)+IF(AA5&lt;AC5,1,0)+IF(AI5&lt;AK5,1,0)+IF(AE5&lt;AG5,1,0)</f>
        <v>3</v>
      </c>
      <c r="AN5" s="30">
        <f aca="true" t="shared" si="13" ref="AN5:AN12">IF(AND(ISNUMBER(C5),C5=E5),1,0)+IF(AND(ISNUMBER(G5),G5=I5),1,0)+IF(AND(ISNUMBER(K5),K5=M5),1,)+IF(AND(ISNUMBER(O5),O5=Q5),1,0)+IF(AND(ISNUMBER(S5),S5=U5),1,0)+IF(AND(ISNUMBER(W5),W5=Y5),1,0)+IF(AND(ISNUMBER(AA5),AA5=AC5),1,0)+IF(AND(ISNUMBER(AI5),AI5=AK5),1,0)+IF(AND(ISNUMBER(AE5),AE5=AG5),1,0)</f>
        <v>1</v>
      </c>
      <c r="AO5" s="31">
        <f t="shared" si="0"/>
        <v>0</v>
      </c>
      <c r="AP5" s="32">
        <f t="shared" si="1"/>
        <v>0</v>
      </c>
      <c r="AQ5" s="33">
        <f t="shared" si="2"/>
        <v>1</v>
      </c>
      <c r="AR5" s="34">
        <f t="shared" si="3"/>
        <v>1</v>
      </c>
      <c r="AS5" s="30">
        <f aca="true" t="shared" si="14" ref="AS5:AS12">IF(ISNUMBER(G5),G5,0)+IF(ISNUMBER(K5),K5,0)+IF(ISNUMBER(O5),O5,0)+IF(ISNUMBER(AA5),AA5,0)+IF(ISNUMBER(AI5),AI5,0)+IF(ISNUMBER(S5),S5,0)+IF(ISNUMBER(W5),W5,0)+IF(ISNUMBER(C5),C5,0)+IF(ISNUMBER(AE5),AE5,0)</f>
        <v>5</v>
      </c>
      <c r="AT5" s="30">
        <f aca="true" t="shared" si="15" ref="AT5:AT12">IF(ISNUMBER(I5),I5,0)+IF(ISNUMBER(M5),M5,0)+IF(ISNUMBER(Q5),Q5,0)+IF(ISNUMBER(AC5),AC5,0)+IF(ISNUMBER(AK5),AK5,0)+IF(ISNUMBER(U5),U5,0)+IF(ISNUMBER(Y5),Y5,0)+IF(ISNUMBER(E5),E5,0)+IF(ISNUMBER(AG5),AG5,0)</f>
        <v>20</v>
      </c>
      <c r="AU5" s="25">
        <f t="shared" si="4"/>
        <v>-15</v>
      </c>
      <c r="AV5" s="1"/>
      <c r="AW5" s="1"/>
      <c r="AX5" s="42">
        <f>BC5+COUNTIF(BC$3:BC4,BC5)</f>
        <v>6</v>
      </c>
      <c r="AY5" s="44" t="str">
        <f t="shared" si="5"/>
        <v>松戸スラッガーズ</v>
      </c>
      <c r="AZ5" s="42">
        <f t="shared" si="6"/>
        <v>1</v>
      </c>
      <c r="BA5" s="42">
        <f t="shared" si="7"/>
        <v>0</v>
      </c>
      <c r="BB5" s="42">
        <f t="shared" si="8"/>
        <v>4</v>
      </c>
      <c r="BC5" s="42">
        <f aca="true" t="shared" si="16" ref="BC5:BC10">RANK(AZ5,AZ$4:AZ$10)</f>
        <v>6</v>
      </c>
      <c r="BD5" s="43">
        <f aca="true" t="shared" si="17" ref="BD5:BD10">VLOOKUP(ROW(BB2),$AX$4:$BD$10,6,FALSE)</f>
        <v>2</v>
      </c>
      <c r="BE5" s="45" t="str">
        <f t="shared" si="9"/>
        <v>野菊野ファイターズ</v>
      </c>
      <c r="BF5" s="45">
        <f aca="true" t="shared" si="18" ref="BF5:BF10">VLOOKUP(ROW(BB2),$AX$4:$BC$10,3,FALSE)</f>
        <v>10</v>
      </c>
      <c r="BG5" s="45">
        <f aca="true" t="shared" si="19" ref="BG5:BG10">VLOOKUP(ROW(BB2),$AX$4:$BC$10,4,FALSE)</f>
        <v>5</v>
      </c>
      <c r="BH5" s="45">
        <f aca="true" t="shared" si="20" ref="BH5:BH10">VLOOKUP(ROW(BB2),$AX$4:$BC$10,5,FALSE)</f>
        <v>6</v>
      </c>
      <c r="BI5" s="55"/>
      <c r="BK5" s="42">
        <f>BN5+COUNTIF(BN$3:BN4,BN5)</f>
        <v>6</v>
      </c>
      <c r="BL5" s="44" t="str">
        <f t="shared" si="10"/>
        <v>松戸スラッガーズ</v>
      </c>
      <c r="BM5" s="42">
        <f aca="true" t="shared" si="21" ref="BM5:BM10">COUNT(B5:AK5)/2</f>
        <v>4</v>
      </c>
      <c r="BN5" s="42">
        <f aca="true" t="shared" si="22" ref="BN5:BN10">RANK(BM5,BM$4:BM$10)</f>
        <v>5</v>
      </c>
      <c r="BO5" s="43">
        <f aca="true" t="shared" si="23" ref="BO5:BO10">VLOOKUP(ROW(BP2),$BK$4:$BN$10,4,FALSE)</f>
        <v>1</v>
      </c>
      <c r="BP5" s="45" t="str">
        <f aca="true" t="shared" si="24" ref="BP5:BP10">VLOOKUP(ROW(BP2),$BK$4:$BN$10,2,FALSE)</f>
        <v>高塚新田ラークス</v>
      </c>
    </row>
    <row r="6" spans="1:68" ht="19.5" customHeight="1">
      <c r="A6" s="108" t="s">
        <v>66</v>
      </c>
      <c r="B6" s="36"/>
      <c r="C6" s="37">
        <v>10</v>
      </c>
      <c r="D6" s="37"/>
      <c r="E6" s="38">
        <v>1</v>
      </c>
      <c r="F6" s="36"/>
      <c r="G6" s="37">
        <v>5</v>
      </c>
      <c r="H6" s="37"/>
      <c r="I6" s="38">
        <v>1</v>
      </c>
      <c r="J6" s="36"/>
      <c r="K6" s="37"/>
      <c r="L6" s="37"/>
      <c r="M6" s="38"/>
      <c r="N6" s="36"/>
      <c r="O6" s="37">
        <f>IF(M7="","",M7)</f>
        <v>4</v>
      </c>
      <c r="P6" s="37"/>
      <c r="Q6" s="38">
        <f>IF(K7="","",K7)</f>
        <v>7</v>
      </c>
      <c r="R6" s="36"/>
      <c r="S6" s="37">
        <f>IF(M8="","",M8)</f>
        <v>12</v>
      </c>
      <c r="T6" s="37"/>
      <c r="U6" s="38">
        <f>IF(K8="","",K8)</f>
        <v>4</v>
      </c>
      <c r="V6" s="36"/>
      <c r="W6" s="37">
        <f>IF(M9="","",M9)</f>
        <v>1</v>
      </c>
      <c r="X6" s="37"/>
      <c r="Y6" s="38">
        <f>IF(K9="","",K9)</f>
        <v>0</v>
      </c>
      <c r="Z6" s="36"/>
      <c r="AA6" s="37">
        <f>IF(M10="","",M10)</f>
        <v>10</v>
      </c>
      <c r="AB6" s="37"/>
      <c r="AC6" s="38">
        <f>IF(K10="","",K10)</f>
        <v>2</v>
      </c>
      <c r="AD6" s="36"/>
      <c r="AE6" s="37">
        <f>IF(M11="","",M11)</f>
      </c>
      <c r="AF6" s="37"/>
      <c r="AG6" s="38">
        <f>IF(K11="","",K11)</f>
      </c>
      <c r="AH6" s="36"/>
      <c r="AI6" s="37">
        <f>IF(M12="","",M12)</f>
      </c>
      <c r="AJ6" s="37"/>
      <c r="AK6" s="38">
        <f>IF(K12="","",K12)</f>
      </c>
      <c r="AL6" s="30">
        <f t="shared" si="11"/>
        <v>5</v>
      </c>
      <c r="AM6" s="30">
        <f t="shared" si="12"/>
        <v>1</v>
      </c>
      <c r="AN6" s="30">
        <f t="shared" si="13"/>
        <v>0</v>
      </c>
      <c r="AO6" s="31">
        <f t="shared" si="0"/>
        <v>10</v>
      </c>
      <c r="AP6" s="32">
        <f t="shared" si="1"/>
        <v>0</v>
      </c>
      <c r="AQ6" s="33">
        <f t="shared" si="2"/>
        <v>0</v>
      </c>
      <c r="AR6" s="34">
        <f t="shared" si="3"/>
        <v>10</v>
      </c>
      <c r="AS6" s="30">
        <f t="shared" si="14"/>
        <v>42</v>
      </c>
      <c r="AT6" s="30">
        <f t="shared" si="15"/>
        <v>15</v>
      </c>
      <c r="AU6" s="35">
        <f t="shared" si="4"/>
        <v>27</v>
      </c>
      <c r="AV6" s="1"/>
      <c r="AW6" s="1"/>
      <c r="AX6" s="42">
        <f>BC6+COUNTIF(BC$3:BC5,BC6)</f>
        <v>2</v>
      </c>
      <c r="AY6" s="44" t="str">
        <f t="shared" si="5"/>
        <v>野菊野ファイターズ</v>
      </c>
      <c r="AZ6" s="42">
        <f t="shared" si="6"/>
        <v>10</v>
      </c>
      <c r="BA6" s="42">
        <f t="shared" si="7"/>
        <v>5</v>
      </c>
      <c r="BB6" s="42">
        <f t="shared" si="8"/>
        <v>6</v>
      </c>
      <c r="BC6" s="42">
        <f t="shared" si="16"/>
        <v>2</v>
      </c>
      <c r="BD6" s="43">
        <f t="shared" si="17"/>
        <v>3</v>
      </c>
      <c r="BE6" s="45" t="str">
        <f t="shared" si="9"/>
        <v>七次台ジャガース</v>
      </c>
      <c r="BF6" s="45">
        <f t="shared" si="18"/>
        <v>6</v>
      </c>
      <c r="BG6" s="45">
        <f t="shared" si="19"/>
        <v>3</v>
      </c>
      <c r="BH6" s="45">
        <f t="shared" si="20"/>
        <v>6</v>
      </c>
      <c r="BI6" s="55"/>
      <c r="BK6" s="42">
        <f>BN6+COUNTIF(BN$3:BN5,BN6)</f>
        <v>1</v>
      </c>
      <c r="BL6" s="44" t="str">
        <f t="shared" si="10"/>
        <v>野菊野ファイターズ</v>
      </c>
      <c r="BM6" s="42">
        <f t="shared" si="21"/>
        <v>6</v>
      </c>
      <c r="BN6" s="42">
        <f t="shared" si="22"/>
        <v>1</v>
      </c>
      <c r="BO6" s="43">
        <f t="shared" si="23"/>
        <v>1</v>
      </c>
      <c r="BP6" s="45" t="str">
        <f t="shared" si="24"/>
        <v>ありんこアントス</v>
      </c>
    </row>
    <row r="7" spans="1:68" ht="19.5" customHeight="1">
      <c r="A7" s="108" t="s">
        <v>64</v>
      </c>
      <c r="B7" s="37"/>
      <c r="C7" s="37">
        <v>7</v>
      </c>
      <c r="D7" s="37"/>
      <c r="E7" s="38">
        <v>5</v>
      </c>
      <c r="F7" s="36"/>
      <c r="G7" s="37">
        <v>10</v>
      </c>
      <c r="H7" s="37"/>
      <c r="I7" s="38">
        <v>0</v>
      </c>
      <c r="J7" s="36"/>
      <c r="K7" s="37">
        <v>7</v>
      </c>
      <c r="L7" s="37"/>
      <c r="M7" s="38">
        <v>4</v>
      </c>
      <c r="N7" s="36"/>
      <c r="O7" s="37"/>
      <c r="P7" s="37"/>
      <c r="Q7" s="38"/>
      <c r="R7" s="36"/>
      <c r="S7" s="37">
        <f>IF(Q8="","",Q8)</f>
        <v>14</v>
      </c>
      <c r="T7" s="37"/>
      <c r="U7" s="38">
        <f>IF(O8="","",O8)</f>
        <v>0</v>
      </c>
      <c r="V7" s="36"/>
      <c r="W7" s="37">
        <f>IF(Q9="","",Q9)</f>
        <v>24</v>
      </c>
      <c r="X7" s="37"/>
      <c r="Y7" s="38">
        <f>IF(O9="","",O9)</f>
        <v>0</v>
      </c>
      <c r="Z7" s="36"/>
      <c r="AA7" s="37">
        <f>IF(Q10="","",Q10)</f>
        <v>6</v>
      </c>
      <c r="AB7" s="37"/>
      <c r="AC7" s="38">
        <f>IF(O10="","",O10)</f>
        <v>1</v>
      </c>
      <c r="AD7" s="36"/>
      <c r="AE7" s="37">
        <f>IF(Q11="","",Q11)</f>
      </c>
      <c r="AF7" s="37"/>
      <c r="AG7" s="38">
        <f>IF(O11="","",O11)</f>
      </c>
      <c r="AH7" s="36"/>
      <c r="AI7" s="37">
        <f>IF(Q12="","",Q12)</f>
      </c>
      <c r="AJ7" s="37"/>
      <c r="AK7" s="38">
        <f>IF(O12="","",O12)</f>
      </c>
      <c r="AL7" s="30">
        <f t="shared" si="11"/>
        <v>6</v>
      </c>
      <c r="AM7" s="30">
        <f t="shared" si="12"/>
        <v>0</v>
      </c>
      <c r="AN7" s="30">
        <f t="shared" si="13"/>
        <v>0</v>
      </c>
      <c r="AO7" s="31">
        <f t="shared" si="0"/>
        <v>12</v>
      </c>
      <c r="AP7" s="32">
        <f t="shared" si="1"/>
        <v>0</v>
      </c>
      <c r="AQ7" s="33">
        <f t="shared" si="2"/>
        <v>0</v>
      </c>
      <c r="AR7" s="34">
        <f t="shared" si="3"/>
        <v>12</v>
      </c>
      <c r="AS7" s="30">
        <f t="shared" si="14"/>
        <v>68</v>
      </c>
      <c r="AT7" s="30">
        <f t="shared" si="15"/>
        <v>10</v>
      </c>
      <c r="AU7" s="25">
        <f t="shared" si="4"/>
        <v>58</v>
      </c>
      <c r="AV7" s="1"/>
      <c r="AW7" s="1"/>
      <c r="AX7" s="42">
        <f>BC7+COUNTIF(BC$3:BC6,BC7)</f>
        <v>1</v>
      </c>
      <c r="AY7" s="44" t="str">
        <f t="shared" si="5"/>
        <v>高塚新田ラークス</v>
      </c>
      <c r="AZ7" s="42">
        <f t="shared" si="6"/>
        <v>12</v>
      </c>
      <c r="BA7" s="42">
        <f t="shared" si="7"/>
        <v>6</v>
      </c>
      <c r="BB7" s="42">
        <f t="shared" si="8"/>
        <v>6</v>
      </c>
      <c r="BC7" s="42">
        <f t="shared" si="16"/>
        <v>1</v>
      </c>
      <c r="BD7" s="43">
        <f t="shared" si="17"/>
        <v>4</v>
      </c>
      <c r="BE7" s="45" t="str">
        <f t="shared" si="9"/>
        <v>根木内ヤングスターズ</v>
      </c>
      <c r="BF7" s="45">
        <f t="shared" si="18"/>
        <v>4</v>
      </c>
      <c r="BG7" s="45">
        <f t="shared" si="19"/>
        <v>2</v>
      </c>
      <c r="BH7" s="45">
        <f t="shared" si="20"/>
        <v>4</v>
      </c>
      <c r="BI7" s="55"/>
      <c r="BK7" s="42">
        <f>BN7+COUNTIF(BN$3:BN6,BN7)</f>
        <v>2</v>
      </c>
      <c r="BL7" s="44" t="str">
        <f t="shared" si="10"/>
        <v>高塚新田ラークス</v>
      </c>
      <c r="BM7" s="42">
        <f t="shared" si="21"/>
        <v>6</v>
      </c>
      <c r="BN7" s="42">
        <f t="shared" si="22"/>
        <v>1</v>
      </c>
      <c r="BO7" s="43">
        <f t="shared" si="23"/>
        <v>1</v>
      </c>
      <c r="BP7" s="45" t="str">
        <f t="shared" si="24"/>
        <v>七次台ジャガース</v>
      </c>
    </row>
    <row r="8" spans="1:68" ht="19.5" customHeight="1">
      <c r="A8" s="108" t="s">
        <v>82</v>
      </c>
      <c r="B8" s="36"/>
      <c r="C8" s="37">
        <v>7</v>
      </c>
      <c r="D8" s="37"/>
      <c r="E8" s="38">
        <v>8</v>
      </c>
      <c r="F8" s="36"/>
      <c r="G8" s="37">
        <v>2</v>
      </c>
      <c r="H8" s="37"/>
      <c r="I8" s="38">
        <v>2</v>
      </c>
      <c r="J8" s="36"/>
      <c r="K8" s="37">
        <v>4</v>
      </c>
      <c r="L8" s="37"/>
      <c r="M8" s="38">
        <v>12</v>
      </c>
      <c r="N8" s="36"/>
      <c r="O8" s="37">
        <v>0</v>
      </c>
      <c r="P8" s="37"/>
      <c r="Q8" s="38">
        <v>14</v>
      </c>
      <c r="R8" s="36"/>
      <c r="S8" s="37"/>
      <c r="T8" s="37"/>
      <c r="U8" s="38"/>
      <c r="V8" s="36"/>
      <c r="W8" s="37">
        <f>IF(U9="","",U9)</f>
        <v>9</v>
      </c>
      <c r="X8" s="37"/>
      <c r="Y8" s="38">
        <f>IF(S9="","",S9)</f>
        <v>5</v>
      </c>
      <c r="Z8" s="36"/>
      <c r="AA8" s="37">
        <f>IF(U10="","",U10)</f>
        <v>3</v>
      </c>
      <c r="AB8" s="37"/>
      <c r="AC8" s="38">
        <f>IF(S10="","",S10)</f>
        <v>11</v>
      </c>
      <c r="AD8" s="36"/>
      <c r="AE8" s="37">
        <f>IF(U11="","",U11)</f>
      </c>
      <c r="AF8" s="37"/>
      <c r="AG8" s="38">
        <f>IF(S11="","",S11)</f>
      </c>
      <c r="AH8" s="36"/>
      <c r="AI8" s="37">
        <f>IF(U12="","",U12)</f>
      </c>
      <c r="AJ8" s="37"/>
      <c r="AK8" s="38">
        <f>IF(S12="","",S12)</f>
      </c>
      <c r="AL8" s="30">
        <f t="shared" si="11"/>
        <v>1</v>
      </c>
      <c r="AM8" s="30">
        <f t="shared" si="12"/>
        <v>4</v>
      </c>
      <c r="AN8" s="30">
        <f t="shared" si="13"/>
        <v>1</v>
      </c>
      <c r="AO8" s="31">
        <f t="shared" si="0"/>
        <v>2</v>
      </c>
      <c r="AP8" s="32">
        <f t="shared" si="1"/>
        <v>0</v>
      </c>
      <c r="AQ8" s="33">
        <f t="shared" si="2"/>
        <v>1</v>
      </c>
      <c r="AR8" s="34">
        <f t="shared" si="3"/>
        <v>3</v>
      </c>
      <c r="AS8" s="30">
        <f t="shared" si="14"/>
        <v>25</v>
      </c>
      <c r="AT8" s="30">
        <f t="shared" si="15"/>
        <v>52</v>
      </c>
      <c r="AU8" s="25">
        <f t="shared" si="4"/>
        <v>-27</v>
      </c>
      <c r="AV8" s="1"/>
      <c r="AW8" s="1"/>
      <c r="AX8" s="42">
        <f>BC8+COUNTIF(BC$3:BC7,BC8)</f>
        <v>5</v>
      </c>
      <c r="AY8" s="44" t="str">
        <f t="shared" si="5"/>
        <v>ありんこアントス</v>
      </c>
      <c r="AZ8" s="42">
        <f t="shared" si="6"/>
        <v>3</v>
      </c>
      <c r="BA8" s="42">
        <f t="shared" si="7"/>
        <v>1</v>
      </c>
      <c r="BB8" s="42">
        <f t="shared" si="8"/>
        <v>6</v>
      </c>
      <c r="BC8" s="42">
        <f t="shared" si="16"/>
        <v>5</v>
      </c>
      <c r="BD8" s="43">
        <f t="shared" si="17"/>
        <v>5</v>
      </c>
      <c r="BE8" s="45" t="str">
        <f t="shared" si="9"/>
        <v>ありんこアントス</v>
      </c>
      <c r="BF8" s="45">
        <f t="shared" si="18"/>
        <v>3</v>
      </c>
      <c r="BG8" s="45">
        <f t="shared" si="19"/>
        <v>1</v>
      </c>
      <c r="BH8" s="45">
        <f t="shared" si="20"/>
        <v>6</v>
      </c>
      <c r="BI8" s="55"/>
      <c r="BK8" s="42">
        <f>BN8+COUNTIF(BN$3:BN7,BN8)</f>
        <v>3</v>
      </c>
      <c r="BL8" s="44" t="str">
        <f t="shared" si="10"/>
        <v>ありんこアントス</v>
      </c>
      <c r="BM8" s="42">
        <f t="shared" si="21"/>
        <v>6</v>
      </c>
      <c r="BN8" s="42">
        <f t="shared" si="22"/>
        <v>1</v>
      </c>
      <c r="BO8" s="43">
        <f t="shared" si="23"/>
        <v>5</v>
      </c>
      <c r="BP8" s="45" t="str">
        <f t="shared" si="24"/>
        <v>根木内ヤングスターズ</v>
      </c>
    </row>
    <row r="9" spans="1:68" ht="19.5" customHeight="1">
      <c r="A9" s="108" t="s">
        <v>79</v>
      </c>
      <c r="B9" s="36"/>
      <c r="C9" s="37"/>
      <c r="D9" s="37"/>
      <c r="E9" s="38"/>
      <c r="F9" s="36"/>
      <c r="G9" s="37"/>
      <c r="H9" s="37"/>
      <c r="I9" s="38"/>
      <c r="J9" s="36"/>
      <c r="K9" s="37">
        <v>0</v>
      </c>
      <c r="L9" s="37"/>
      <c r="M9" s="38">
        <v>1</v>
      </c>
      <c r="N9" s="36"/>
      <c r="O9" s="37">
        <v>0</v>
      </c>
      <c r="P9" s="37"/>
      <c r="Q9" s="38">
        <v>24</v>
      </c>
      <c r="R9" s="36"/>
      <c r="S9" s="37">
        <v>5</v>
      </c>
      <c r="T9" s="37"/>
      <c r="U9" s="38">
        <v>9</v>
      </c>
      <c r="V9" s="36"/>
      <c r="W9" s="37"/>
      <c r="X9" s="37"/>
      <c r="Y9" s="38"/>
      <c r="Z9" s="36"/>
      <c r="AA9" s="37">
        <f>IF(Y10="","",Y10)</f>
        <v>6</v>
      </c>
      <c r="AB9" s="37"/>
      <c r="AC9" s="38">
        <f>IF(W10="","",W10)</f>
        <v>7</v>
      </c>
      <c r="AD9" s="36"/>
      <c r="AE9" s="37">
        <f>IF(Y11="","",Y11)</f>
      </c>
      <c r="AF9" s="37"/>
      <c r="AG9" s="38">
        <f>IF(W11="","",W11)</f>
      </c>
      <c r="AH9" s="36"/>
      <c r="AI9" s="37">
        <f>IF(Y12="","",Y12)</f>
      </c>
      <c r="AJ9" s="37"/>
      <c r="AK9" s="38">
        <f>IF(W12="","",W12)</f>
      </c>
      <c r="AL9" s="30">
        <f t="shared" si="11"/>
        <v>0</v>
      </c>
      <c r="AM9" s="30">
        <f t="shared" si="12"/>
        <v>4</v>
      </c>
      <c r="AN9" s="30">
        <f t="shared" si="13"/>
        <v>0</v>
      </c>
      <c r="AO9" s="31">
        <f t="shared" si="0"/>
        <v>0</v>
      </c>
      <c r="AP9" s="32">
        <f t="shared" si="1"/>
        <v>0</v>
      </c>
      <c r="AQ9" s="33">
        <f t="shared" si="2"/>
        <v>0</v>
      </c>
      <c r="AR9" s="34">
        <f t="shared" si="3"/>
        <v>0</v>
      </c>
      <c r="AS9" s="30">
        <f t="shared" si="14"/>
        <v>11</v>
      </c>
      <c r="AT9" s="30">
        <f t="shared" si="15"/>
        <v>41</v>
      </c>
      <c r="AU9" s="30">
        <f t="shared" si="4"/>
        <v>-30</v>
      </c>
      <c r="AV9" s="1"/>
      <c r="AW9" s="1"/>
      <c r="AX9" s="42">
        <f>BC9+COUNTIF(BC$3:BC8,BC9)</f>
        <v>7</v>
      </c>
      <c r="AY9" s="44" t="str">
        <f t="shared" si="5"/>
        <v>柏ヤンガーズ</v>
      </c>
      <c r="AZ9" s="42">
        <f t="shared" si="6"/>
        <v>0</v>
      </c>
      <c r="BA9" s="42">
        <f t="shared" si="7"/>
        <v>0</v>
      </c>
      <c r="BB9" s="42">
        <f t="shared" si="8"/>
        <v>4</v>
      </c>
      <c r="BC9" s="42">
        <f t="shared" si="16"/>
        <v>7</v>
      </c>
      <c r="BD9" s="43">
        <f t="shared" si="17"/>
        <v>6</v>
      </c>
      <c r="BE9" s="45" t="str">
        <f t="shared" si="9"/>
        <v>松戸スラッガーズ</v>
      </c>
      <c r="BF9" s="45">
        <f t="shared" si="18"/>
        <v>1</v>
      </c>
      <c r="BG9" s="45">
        <f t="shared" si="19"/>
        <v>0</v>
      </c>
      <c r="BH9" s="45">
        <f t="shared" si="20"/>
        <v>4</v>
      </c>
      <c r="BI9" s="55"/>
      <c r="BK9" s="42">
        <f>BN9+COUNTIF(BN$3:BN8,BN9)</f>
        <v>7</v>
      </c>
      <c r="BL9" s="44" t="str">
        <f t="shared" si="10"/>
        <v>柏ヤンガーズ</v>
      </c>
      <c r="BM9" s="42">
        <f t="shared" si="21"/>
        <v>4</v>
      </c>
      <c r="BN9" s="42">
        <f t="shared" si="22"/>
        <v>5</v>
      </c>
      <c r="BO9" s="43">
        <f t="shared" si="23"/>
        <v>5</v>
      </c>
      <c r="BP9" s="45" t="str">
        <f t="shared" si="24"/>
        <v>松戸スラッガーズ</v>
      </c>
    </row>
    <row r="10" spans="1:68" ht="19.5" customHeight="1">
      <c r="A10" s="108" t="s">
        <v>89</v>
      </c>
      <c r="B10" s="36"/>
      <c r="C10" s="37">
        <v>1</v>
      </c>
      <c r="D10" s="37"/>
      <c r="E10" s="38">
        <v>9</v>
      </c>
      <c r="F10" s="36"/>
      <c r="G10" s="37">
        <v>3</v>
      </c>
      <c r="H10" s="37"/>
      <c r="I10" s="38">
        <v>2</v>
      </c>
      <c r="J10" s="36"/>
      <c r="K10" s="37">
        <v>2</v>
      </c>
      <c r="L10" s="37"/>
      <c r="M10" s="38">
        <v>10</v>
      </c>
      <c r="N10" s="36"/>
      <c r="O10" s="37">
        <v>1</v>
      </c>
      <c r="P10" s="37"/>
      <c r="Q10" s="38">
        <v>6</v>
      </c>
      <c r="R10" s="36"/>
      <c r="S10" s="37">
        <v>11</v>
      </c>
      <c r="T10" s="37"/>
      <c r="U10" s="38">
        <v>3</v>
      </c>
      <c r="V10" s="36"/>
      <c r="W10" s="37">
        <v>7</v>
      </c>
      <c r="X10" s="37"/>
      <c r="Y10" s="38">
        <v>6</v>
      </c>
      <c r="Z10" s="36"/>
      <c r="AA10" s="37"/>
      <c r="AB10" s="37"/>
      <c r="AC10" s="38"/>
      <c r="AD10" s="36"/>
      <c r="AE10" s="37">
        <f>IF(AC11="","",AC11)</f>
      </c>
      <c r="AF10" s="37"/>
      <c r="AG10" s="38">
        <f>IF(AA11="","",AA11)</f>
      </c>
      <c r="AH10" s="36"/>
      <c r="AI10" s="37">
        <f>IF(AC12="","",AC12)</f>
      </c>
      <c r="AJ10" s="37"/>
      <c r="AK10" s="38">
        <f>IF(AA12="","",AA12)</f>
      </c>
      <c r="AL10" s="30">
        <f t="shared" si="11"/>
        <v>3</v>
      </c>
      <c r="AM10" s="30">
        <f t="shared" si="12"/>
        <v>3</v>
      </c>
      <c r="AN10" s="30">
        <f t="shared" si="13"/>
        <v>0</v>
      </c>
      <c r="AO10" s="31">
        <f>AL10*2</f>
        <v>6</v>
      </c>
      <c r="AP10" s="32">
        <f>AM10*0</f>
        <v>0</v>
      </c>
      <c r="AQ10" s="33">
        <f>AN10*1</f>
        <v>0</v>
      </c>
      <c r="AR10" s="34">
        <f>AO10+AP10+AQ10</f>
        <v>6</v>
      </c>
      <c r="AS10" s="30">
        <f t="shared" si="14"/>
        <v>25</v>
      </c>
      <c r="AT10" s="30">
        <f t="shared" si="15"/>
        <v>36</v>
      </c>
      <c r="AU10" s="30">
        <f>AS10-AT10</f>
        <v>-11</v>
      </c>
      <c r="AV10" s="1"/>
      <c r="AW10" s="1"/>
      <c r="AX10" s="42">
        <f>BC10+COUNTIF(BC$3:BC9,BC10)</f>
        <v>3</v>
      </c>
      <c r="AY10" s="44" t="str">
        <f>+A10</f>
        <v>七次台ジャガース</v>
      </c>
      <c r="AZ10" s="42">
        <f>+AR10</f>
        <v>6</v>
      </c>
      <c r="BA10" s="42">
        <f>+AL10</f>
        <v>3</v>
      </c>
      <c r="BB10" s="42">
        <f>+AL10+AM10+AN10</f>
        <v>6</v>
      </c>
      <c r="BC10" s="42">
        <f t="shared" si="16"/>
        <v>3</v>
      </c>
      <c r="BD10" s="43">
        <f t="shared" si="17"/>
        <v>7</v>
      </c>
      <c r="BE10" s="45" t="str">
        <f>VLOOKUP(ROW(BB7),$AX$4:$BC$10,2,FALSE)</f>
        <v>柏ヤンガーズ</v>
      </c>
      <c r="BF10" s="45">
        <f t="shared" si="18"/>
        <v>0</v>
      </c>
      <c r="BG10" s="45">
        <f t="shared" si="19"/>
        <v>0</v>
      </c>
      <c r="BH10" s="45">
        <f t="shared" si="20"/>
        <v>4</v>
      </c>
      <c r="BI10" s="55"/>
      <c r="BK10" s="42">
        <f>BN10+COUNTIF(BN$3:BN9,BN10)</f>
        <v>4</v>
      </c>
      <c r="BL10" s="44" t="str">
        <f>+AY10</f>
        <v>七次台ジャガース</v>
      </c>
      <c r="BM10" s="42">
        <f t="shared" si="21"/>
        <v>6</v>
      </c>
      <c r="BN10" s="42">
        <f t="shared" si="22"/>
        <v>1</v>
      </c>
      <c r="BO10" s="43">
        <f t="shared" si="23"/>
        <v>5</v>
      </c>
      <c r="BP10" s="45" t="str">
        <f t="shared" si="24"/>
        <v>柏ヤンガーズ</v>
      </c>
    </row>
    <row r="11" spans="1:68" ht="19.5" customHeight="1">
      <c r="A11" s="108"/>
      <c r="B11" s="36"/>
      <c r="C11" s="37"/>
      <c r="D11" s="37"/>
      <c r="E11" s="38"/>
      <c r="F11" s="36"/>
      <c r="G11" s="37"/>
      <c r="H11" s="37"/>
      <c r="I11" s="38"/>
      <c r="J11" s="36"/>
      <c r="K11" s="37"/>
      <c r="L11" s="37"/>
      <c r="M11" s="38"/>
      <c r="N11" s="36"/>
      <c r="O11" s="37"/>
      <c r="P11" s="37"/>
      <c r="Q11" s="38"/>
      <c r="R11" s="36"/>
      <c r="S11" s="37"/>
      <c r="T11" s="37"/>
      <c r="U11" s="38"/>
      <c r="V11" s="36"/>
      <c r="W11" s="37"/>
      <c r="X11" s="37"/>
      <c r="Y11" s="38"/>
      <c r="Z11" s="36"/>
      <c r="AA11" s="37"/>
      <c r="AB11" s="37"/>
      <c r="AC11" s="38"/>
      <c r="AD11" s="36"/>
      <c r="AE11" s="37"/>
      <c r="AF11" s="37"/>
      <c r="AG11" s="38"/>
      <c r="AH11" s="36"/>
      <c r="AI11" s="37">
        <f>IF(AG12="","",AG12)</f>
      </c>
      <c r="AJ11" s="37"/>
      <c r="AK11" s="38">
        <f>IF(AE12="","",AE12)</f>
      </c>
      <c r="AL11" s="30">
        <f t="shared" si="11"/>
        <v>0</v>
      </c>
      <c r="AM11" s="30">
        <f t="shared" si="12"/>
        <v>0</v>
      </c>
      <c r="AN11" s="30">
        <f t="shared" si="13"/>
        <v>0</v>
      </c>
      <c r="AO11" s="31">
        <f>AL11*2</f>
        <v>0</v>
      </c>
      <c r="AP11" s="32">
        <f>AM11*0</f>
        <v>0</v>
      </c>
      <c r="AQ11" s="33">
        <f>AN11*1</f>
        <v>0</v>
      </c>
      <c r="AR11" s="34">
        <f>AO11+AP11+AQ11</f>
        <v>0</v>
      </c>
      <c r="AS11" s="30">
        <f t="shared" si="14"/>
        <v>0</v>
      </c>
      <c r="AT11" s="30">
        <f t="shared" si="15"/>
        <v>0</v>
      </c>
      <c r="AU11" s="30">
        <f>AS11-AT11</f>
        <v>0</v>
      </c>
      <c r="AV11" s="1"/>
      <c r="AW11" s="1"/>
      <c r="AX11" s="42"/>
      <c r="AY11" s="44"/>
      <c r="AZ11" s="42">
        <f>+AR11</f>
        <v>0</v>
      </c>
      <c r="BA11" s="42">
        <f>+AL11</f>
        <v>0</v>
      </c>
      <c r="BB11" s="42">
        <f>+AL11+AM11+AN11</f>
        <v>0</v>
      </c>
      <c r="BC11" s="42"/>
      <c r="BD11" s="43"/>
      <c r="BE11" s="45"/>
      <c r="BF11" s="45"/>
      <c r="BG11" s="45"/>
      <c r="BH11" s="45"/>
      <c r="BI11" s="55"/>
      <c r="BK11" s="42"/>
      <c r="BL11" s="44"/>
      <c r="BM11" s="42"/>
      <c r="BN11" s="42"/>
      <c r="BO11" s="43"/>
      <c r="BP11" s="45"/>
    </row>
    <row r="12" spans="1:68" ht="19.5" customHeight="1">
      <c r="A12" s="108"/>
      <c r="B12" s="36"/>
      <c r="C12" s="37"/>
      <c r="D12" s="37"/>
      <c r="E12" s="38"/>
      <c r="F12" s="36"/>
      <c r="G12" s="37"/>
      <c r="H12" s="37"/>
      <c r="I12" s="38"/>
      <c r="J12" s="36"/>
      <c r="K12" s="37"/>
      <c r="L12" s="37"/>
      <c r="M12" s="38"/>
      <c r="N12" s="36"/>
      <c r="O12" s="37"/>
      <c r="P12" s="37"/>
      <c r="Q12" s="38"/>
      <c r="R12" s="36"/>
      <c r="S12" s="37"/>
      <c r="T12" s="37"/>
      <c r="U12" s="38"/>
      <c r="V12" s="36"/>
      <c r="W12" s="37"/>
      <c r="X12" s="37"/>
      <c r="Y12" s="38"/>
      <c r="Z12" s="36"/>
      <c r="AA12" s="37"/>
      <c r="AB12" s="37"/>
      <c r="AC12" s="38"/>
      <c r="AD12" s="37"/>
      <c r="AE12" s="37"/>
      <c r="AF12" s="37"/>
      <c r="AG12" s="37"/>
      <c r="AH12" s="36"/>
      <c r="AI12" s="37"/>
      <c r="AJ12" s="37"/>
      <c r="AK12" s="38"/>
      <c r="AL12" s="30">
        <f t="shared" si="11"/>
        <v>0</v>
      </c>
      <c r="AM12" s="30">
        <f t="shared" si="12"/>
        <v>0</v>
      </c>
      <c r="AN12" s="30">
        <f t="shared" si="13"/>
        <v>0</v>
      </c>
      <c r="AO12" s="31">
        <f>AL12*2</f>
        <v>0</v>
      </c>
      <c r="AP12" s="32">
        <f>AM12*0</f>
        <v>0</v>
      </c>
      <c r="AQ12" s="33">
        <f>AN12*1</f>
        <v>0</v>
      </c>
      <c r="AR12" s="34">
        <f>AO12+AP12+AQ12</f>
        <v>0</v>
      </c>
      <c r="AS12" s="30">
        <f t="shared" si="14"/>
        <v>0</v>
      </c>
      <c r="AT12" s="30">
        <f t="shared" si="15"/>
        <v>0</v>
      </c>
      <c r="AU12" s="30">
        <f>AS12-AT12</f>
        <v>0</v>
      </c>
      <c r="AV12" s="1"/>
      <c r="AW12" s="1"/>
      <c r="AX12" s="42"/>
      <c r="AY12" s="44"/>
      <c r="AZ12" s="42"/>
      <c r="BA12" s="42"/>
      <c r="BB12" s="42"/>
      <c r="BC12" s="42"/>
      <c r="BD12" s="43"/>
      <c r="BE12" s="45"/>
      <c r="BF12" s="45"/>
      <c r="BG12" s="45"/>
      <c r="BH12" s="45"/>
      <c r="BI12" s="55"/>
      <c r="BK12" s="42"/>
      <c r="BL12" s="44"/>
      <c r="BM12" s="42"/>
      <c r="BN12" s="42"/>
      <c r="BO12" s="43"/>
      <c r="BP12" s="45"/>
    </row>
    <row r="13" spans="1:68" ht="19.5" customHeight="1">
      <c r="A13" s="7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>
        <f>SUM(AL4:AL12)</f>
        <v>17</v>
      </c>
      <c r="AM13" s="6">
        <f>SUM(AM4:AM12)</f>
        <v>17</v>
      </c>
      <c r="AN13" s="6">
        <f>SUM(AN4:AN12)</f>
        <v>2</v>
      </c>
      <c r="AO13" s="6"/>
      <c r="AP13" s="6"/>
      <c r="AQ13" s="6"/>
      <c r="AR13" s="1"/>
      <c r="AS13" s="6">
        <f>SUM(AS4:AS12)</f>
        <v>199</v>
      </c>
      <c r="AT13" s="6">
        <f>SUM(AT4:AT12)</f>
        <v>199</v>
      </c>
      <c r="AU13" s="6">
        <f>SUM(AU4:AU12)</f>
        <v>0</v>
      </c>
      <c r="AX13" s="46"/>
      <c r="AY13" s="47"/>
      <c r="AZ13" s="46"/>
      <c r="BA13" s="46"/>
      <c r="BB13" s="46"/>
      <c r="BC13" s="46"/>
      <c r="BD13" s="48"/>
      <c r="BE13" s="49"/>
      <c r="BF13" s="55"/>
      <c r="BG13" s="55"/>
      <c r="BH13" s="55"/>
      <c r="BI13" s="55"/>
      <c r="BJ13" s="50"/>
      <c r="BK13" s="46"/>
      <c r="BL13" s="47"/>
      <c r="BM13" s="113">
        <f>SUM(BM4:BM12)/2</f>
        <v>18</v>
      </c>
      <c r="BN13" s="3">
        <f>6*7/2</f>
        <v>21</v>
      </c>
      <c r="BO13" s="48"/>
      <c r="BP13" s="49"/>
    </row>
    <row r="14" spans="1:69" ht="19.5" customHeight="1">
      <c r="A14" s="4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6"/>
      <c r="AQ14" s="6"/>
      <c r="AR14" s="6"/>
      <c r="AS14" s="6"/>
      <c r="AT14" s="6"/>
      <c r="AU14" s="6"/>
      <c r="AV14" s="6"/>
      <c r="AW14" s="6"/>
      <c r="AX14" s="6"/>
      <c r="AY14" s="6"/>
      <c r="BQ14" s="53"/>
    </row>
    <row r="15" spans="1:51" ht="19.5" customHeight="1">
      <c r="A15" s="4" t="s">
        <v>1</v>
      </c>
      <c r="B15" s="73" t="s">
        <v>53</v>
      </c>
      <c r="C15" s="51"/>
      <c r="D15" s="51"/>
      <c r="E15" s="51"/>
      <c r="F15" s="51"/>
      <c r="G15" s="171" t="str">
        <f>"１日"&amp;ROUND((BN26-BM26)/'戦績'!N42,1)&amp;"試合"</f>
        <v>１日0試合</v>
      </c>
      <c r="H15" s="171"/>
      <c r="I15" s="171"/>
      <c r="J15" s="171"/>
      <c r="K15" s="163" t="s">
        <v>23</v>
      </c>
      <c r="L15" s="163"/>
      <c r="M15" s="163"/>
      <c r="N15" s="163"/>
      <c r="O15" s="165">
        <f>IF(C63&gt;C62,+BE17,"")</f>
      </c>
      <c r="P15" s="165"/>
      <c r="Q15" s="165"/>
      <c r="R15" s="165"/>
      <c r="S15" s="165"/>
      <c r="T15" s="52"/>
      <c r="U15" s="163" t="s">
        <v>24</v>
      </c>
      <c r="V15" s="163"/>
      <c r="W15" s="163"/>
      <c r="X15" s="163"/>
      <c r="Y15" s="165">
        <f>IF(C63&gt;C62,BE18,"")</f>
      </c>
      <c r="Z15" s="165"/>
      <c r="AA15" s="165"/>
      <c r="AB15" s="165"/>
      <c r="AC15" s="165"/>
      <c r="AD15" s="165"/>
      <c r="AE15" s="165"/>
      <c r="AF15" s="165"/>
      <c r="AG15" s="165"/>
      <c r="AH15" s="165"/>
      <c r="AI15" s="1"/>
      <c r="AJ15" s="54" t="s">
        <v>26</v>
      </c>
      <c r="AK15" s="1"/>
      <c r="AL15" s="1"/>
      <c r="AM15" s="1"/>
      <c r="AN15" s="169">
        <f>+BM26/(MAX(AX17:AX25)*(MAX(AX17:AX25)-1)/2)</f>
        <v>0.7333333333333333</v>
      </c>
      <c r="AO15" s="169"/>
      <c r="AP15" s="60">
        <f>IF(AP14=AQ14,"","計算間違い")</f>
      </c>
      <c r="AQ15" s="1"/>
      <c r="AR15" s="1"/>
      <c r="AS15" s="1"/>
      <c r="AT15" s="60">
        <f>IF(AR14/2=TRUNC(AR14/2,0),"","計算間違い")</f>
      </c>
      <c r="AU15" s="1"/>
      <c r="AV15" s="1"/>
      <c r="AW15" s="1"/>
      <c r="AX15" s="1"/>
      <c r="AY15" s="1"/>
    </row>
    <row r="16" spans="1:65" ht="19.5" customHeight="1">
      <c r="A16" s="5"/>
      <c r="B16" s="164" t="str">
        <f>+A17</f>
        <v>矢切コンドルス</v>
      </c>
      <c r="C16" s="164"/>
      <c r="D16" s="164"/>
      <c r="E16" s="164"/>
      <c r="F16" s="164" t="str">
        <f>+A18</f>
        <v>五香メッツ</v>
      </c>
      <c r="G16" s="164"/>
      <c r="H16" s="164"/>
      <c r="I16" s="164"/>
      <c r="J16" s="164" t="str">
        <f>+A19</f>
        <v>松戸KSカージナルス
</v>
      </c>
      <c r="K16" s="164"/>
      <c r="L16" s="164"/>
      <c r="M16" s="164"/>
      <c r="N16" s="164" t="str">
        <f>+A20</f>
        <v>牧の原ジュニアーズ</v>
      </c>
      <c r="O16" s="164"/>
      <c r="P16" s="164"/>
      <c r="Q16" s="164"/>
      <c r="R16" s="164" t="str">
        <f>+A21</f>
        <v>柏ドリームス</v>
      </c>
      <c r="S16" s="164"/>
      <c r="T16" s="164"/>
      <c r="U16" s="164"/>
      <c r="V16" s="164" t="str">
        <f>+A22</f>
        <v>増尾レッドスターズ</v>
      </c>
      <c r="W16" s="164"/>
      <c r="X16" s="164"/>
      <c r="Y16" s="164"/>
      <c r="Z16" s="164">
        <f>+A23</f>
        <v>0</v>
      </c>
      <c r="AA16" s="164"/>
      <c r="AB16" s="164"/>
      <c r="AC16" s="164"/>
      <c r="AD16" s="164"/>
      <c r="AE16" s="164"/>
      <c r="AF16" s="164"/>
      <c r="AG16" s="164"/>
      <c r="AH16" s="164"/>
      <c r="AI16" s="164"/>
      <c r="AJ16" s="164"/>
      <c r="AK16" s="164"/>
      <c r="AL16" s="25" t="s">
        <v>4</v>
      </c>
      <c r="AM16" s="25" t="s">
        <v>5</v>
      </c>
      <c r="AN16" s="25" t="s">
        <v>6</v>
      </c>
      <c r="AO16" s="26" t="s">
        <v>11</v>
      </c>
      <c r="AP16" s="27" t="s">
        <v>12</v>
      </c>
      <c r="AQ16" s="28" t="s">
        <v>13</v>
      </c>
      <c r="AR16" s="29" t="s">
        <v>7</v>
      </c>
      <c r="AS16" s="25" t="s">
        <v>8</v>
      </c>
      <c r="AT16" s="25" t="s">
        <v>9</v>
      </c>
      <c r="AU16" s="25" t="s">
        <v>10</v>
      </c>
      <c r="AV16" s="1"/>
      <c r="AW16" s="1"/>
      <c r="AY16" s="3" t="s">
        <v>17</v>
      </c>
      <c r="AZ16" s="3" t="s">
        <v>18</v>
      </c>
      <c r="BL16" s="3" t="s">
        <v>17</v>
      </c>
      <c r="BM16" s="3" t="s">
        <v>19</v>
      </c>
    </row>
    <row r="17" spans="1:68" ht="19.5" customHeight="1">
      <c r="A17" s="108" t="s">
        <v>81</v>
      </c>
      <c r="B17" s="36"/>
      <c r="C17" s="37"/>
      <c r="D17" s="37"/>
      <c r="E17" s="38"/>
      <c r="F17" s="36"/>
      <c r="G17" s="37">
        <f>IF(E18="","",E18)</f>
        <v>0</v>
      </c>
      <c r="H17" s="37"/>
      <c r="I17" s="38">
        <f>IF(C18="","",C18)</f>
        <v>11</v>
      </c>
      <c r="J17" s="36"/>
      <c r="K17" s="37">
        <f>IF(E19="","",E19)</f>
        <v>0</v>
      </c>
      <c r="L17" s="37"/>
      <c r="M17" s="38">
        <f>IF(C19="","",C19)</f>
        <v>5</v>
      </c>
      <c r="N17" s="36"/>
      <c r="O17" s="37">
        <f>IF(E20="","",E20)</f>
      </c>
      <c r="P17" s="37"/>
      <c r="Q17" s="38">
        <f>IF(C20="","",C20)</f>
      </c>
      <c r="R17" s="36"/>
      <c r="S17" s="37">
        <f>IF(E21="","",E21)</f>
        <v>2</v>
      </c>
      <c r="T17" s="37"/>
      <c r="U17" s="38">
        <f>IF(C21="","",C21)</f>
        <v>10</v>
      </c>
      <c r="V17" s="36"/>
      <c r="W17" s="37">
        <f>IF(E22="","",E22)</f>
      </c>
      <c r="X17" s="37"/>
      <c r="Y17" s="38">
        <f>IF(C22="","",C22)</f>
      </c>
      <c r="Z17" s="36"/>
      <c r="AA17" s="37">
        <f>IF(E23="","",E23)</f>
      </c>
      <c r="AB17" s="37"/>
      <c r="AC17" s="38">
        <f>IF(C23="","",C23)</f>
      </c>
      <c r="AD17" s="36"/>
      <c r="AE17" s="37">
        <f>IF(E24="","",E24)</f>
      </c>
      <c r="AF17" s="37"/>
      <c r="AG17" s="38">
        <f>IF(C24="","",C24)</f>
      </c>
      <c r="AH17" s="36"/>
      <c r="AI17" s="37">
        <f>IF(E25="","",E25)</f>
      </c>
      <c r="AJ17" s="37"/>
      <c r="AK17" s="38">
        <f>IF(C25="","",C25)</f>
      </c>
      <c r="AL17" s="30">
        <f>IF(C17&gt;E17,1,0)+IF(G17&gt;I17,1,0)+IF(K17&gt;M17,1,0)+IF(O17&gt;Q17,1,0)+IF(S17&gt;U17,1,0)+IF(W17&gt;Y17,1,0)+IF(AA17&gt;AC17,1,0)+IF(AI17&gt;AK17,1,0)+IF(AE17&gt;AG17,1,0)</f>
        <v>0</v>
      </c>
      <c r="AM17" s="30">
        <f>IF(C17&lt;E17,1,0)+IF(G17&lt;I17,1,0)+IF(K17&lt;M17,1,0)+IF(O17&lt;Q17,1,0)+IF(S17&lt;U17,1,0)+IF(W17&lt;Y17,1,0)+IF(AA17&lt;AC17,1,0)+IF(AI17&lt;AK17,1,0)+IF(AE17&lt;AG17,1,0)</f>
        <v>3</v>
      </c>
      <c r="AN17" s="30">
        <f>IF(AND(ISNUMBER(C17),C17=E17),1,0)+IF(AND(ISNUMBER(G17),G17=I17),1,0)+IF(AND(ISNUMBER(K17),K17=M17),1,)+IF(AND(ISNUMBER(O17),O17=Q17),1,0)+IF(AND(ISNUMBER(S17),S17=U17),1,0)+IF(AND(ISNUMBER(W17),W17=Y17),1,0)+IF(AND(ISNUMBER(AA17),AA17=AC17),1,0)+IF(AND(ISNUMBER(AI17),AI17=AK17),1,0)+IF(AND(ISNUMBER(AE17),AE17=AG17),1,0)</f>
        <v>0</v>
      </c>
      <c r="AO17" s="31">
        <f aca="true" t="shared" si="25" ref="AO17:AO22">AL17*2</f>
        <v>0</v>
      </c>
      <c r="AP17" s="32">
        <f aca="true" t="shared" si="26" ref="AP17:AP22">AM17*0</f>
        <v>0</v>
      </c>
      <c r="AQ17" s="33">
        <f aca="true" t="shared" si="27" ref="AQ17:AQ22">AN17*1</f>
        <v>0</v>
      </c>
      <c r="AR17" s="34">
        <f aca="true" t="shared" si="28" ref="AR17:AR22">AO17+AP17+AQ17</f>
        <v>0</v>
      </c>
      <c r="AS17" s="30">
        <f>IF(ISNUMBER(G17),G17,0)+IF(ISNUMBER(K17),K17,0)+IF(ISNUMBER(O17),O17,0)+IF(ISNUMBER(AA17),AA17,0)+IF(ISNUMBER(AI17),AI17,0)+IF(ISNUMBER(S17),S17,0)+IF(ISNUMBER(W17),W17,0)+IF(ISNUMBER(C17),C17,0)+IF(ISNUMBER(AE17),AE17,0)</f>
        <v>2</v>
      </c>
      <c r="AT17" s="30">
        <f>IF(ISNUMBER(I17),I17,0)+IF(ISNUMBER(M17),M17,0)+IF(ISNUMBER(Q17),Q17,0)+IF(ISNUMBER(AC17),AC17,0)+IF(ISNUMBER(AK17),AK17,0)+IF(ISNUMBER(U17),U17,0)+IF(ISNUMBER(Y17),Y17,0)+IF(ISNUMBER(E17),E17,0)+IF(ISNUMBER(AG17),AG17,0)</f>
        <v>26</v>
      </c>
      <c r="AU17" s="30">
        <f aca="true" t="shared" si="29" ref="AU17:AU22">AS17-AT17</f>
        <v>-24</v>
      </c>
      <c r="AV17" s="1"/>
      <c r="AW17" s="1"/>
      <c r="AX17" s="42">
        <f>BC17+COUNTIF(BC$16:BC16,BC17)</f>
        <v>5</v>
      </c>
      <c r="AY17" s="44" t="str">
        <f aca="true" t="shared" si="30" ref="AY17:AY22">+A17</f>
        <v>矢切コンドルス</v>
      </c>
      <c r="AZ17" s="42">
        <f aca="true" t="shared" si="31" ref="AZ17:AZ22">+AR17</f>
        <v>0</v>
      </c>
      <c r="BA17" s="42">
        <f aca="true" t="shared" si="32" ref="BA17:BA22">+AL17</f>
        <v>0</v>
      </c>
      <c r="BB17" s="42">
        <f aca="true" t="shared" si="33" ref="BB17:BB22">+AL17+AM17+AN17</f>
        <v>3</v>
      </c>
      <c r="BC17" s="42">
        <f aca="true" t="shared" si="34" ref="BC17:BC22">RANK(AZ17,AZ$17:AZ$22)</f>
        <v>5</v>
      </c>
      <c r="BD17" s="43">
        <f aca="true" t="shared" si="35" ref="BD17:BD22">VLOOKUP(ROW(BB1),$AX$17:$BD$22,6,FALSE)</f>
        <v>1</v>
      </c>
      <c r="BE17" s="45" t="str">
        <f aca="true" t="shared" si="36" ref="BE17:BE22">VLOOKUP(ROW(BB1),$AX$17:$BC$22,2,FALSE)</f>
        <v>五香メッツ</v>
      </c>
      <c r="BF17" s="45">
        <f aca="true" t="shared" si="37" ref="BF17:BF22">VLOOKUP(ROW(BB1),$AX$17:$BC$22,3,FALSE)</f>
        <v>9</v>
      </c>
      <c r="BG17" s="45">
        <f aca="true" t="shared" si="38" ref="BG17:BG22">VLOOKUP(ROW(BB1),$AX$17:$BC$22,4,FALSE)</f>
        <v>4</v>
      </c>
      <c r="BH17" s="45">
        <f aca="true" t="shared" si="39" ref="BH17:BH22">VLOOKUP(ROW(BB1),$AX$17:$BC$22,5,FALSE)</f>
        <v>5</v>
      </c>
      <c r="BI17" s="55"/>
      <c r="BK17" s="42">
        <f>BN17+COUNTIF(BN$16:BN16,BN17)</f>
        <v>5</v>
      </c>
      <c r="BL17" s="44" t="str">
        <f aca="true" t="shared" si="40" ref="BL17:BL22">+AY17</f>
        <v>矢切コンドルス</v>
      </c>
      <c r="BM17" s="42">
        <f aca="true" t="shared" si="41" ref="BM17:BM22">COUNT(B17:AK17)/2</f>
        <v>3</v>
      </c>
      <c r="BN17" s="42">
        <f aca="true" t="shared" si="42" ref="BN17:BN22">RANK(BM17,BM$17:BM$22)</f>
        <v>5</v>
      </c>
      <c r="BO17" s="43">
        <f aca="true" t="shared" si="43" ref="BO17:BO22">VLOOKUP(ROW(BO1),$BK$17:$BN$22,4,FALSE)</f>
        <v>1</v>
      </c>
      <c r="BP17" s="45" t="str">
        <f aca="true" t="shared" si="44" ref="BP17:BP22">VLOOKUP(ROW(BP1),$BK$17:$BN$22,2,FALSE)</f>
        <v>五香メッツ</v>
      </c>
    </row>
    <row r="18" spans="1:68" ht="19.5" customHeight="1">
      <c r="A18" s="108" t="s">
        <v>75</v>
      </c>
      <c r="B18" s="37"/>
      <c r="C18" s="37">
        <v>11</v>
      </c>
      <c r="D18" s="37"/>
      <c r="E18" s="38">
        <v>0</v>
      </c>
      <c r="F18" s="36"/>
      <c r="G18" s="37"/>
      <c r="H18" s="37"/>
      <c r="I18" s="38"/>
      <c r="J18" s="36"/>
      <c r="K18" s="37">
        <f>IF(I19="","",I19)</f>
        <v>4</v>
      </c>
      <c r="L18" s="37"/>
      <c r="M18" s="38">
        <f>IF(G19="","",G19)</f>
        <v>1</v>
      </c>
      <c r="N18" s="36"/>
      <c r="O18" s="37">
        <f>IF(I20="","",I20)</f>
        <v>12</v>
      </c>
      <c r="P18" s="37"/>
      <c r="Q18" s="38">
        <f>IF(G20="","",G20)</f>
        <v>11</v>
      </c>
      <c r="R18" s="36"/>
      <c r="S18" s="37">
        <f>IF(I21="","",I21)</f>
        <v>9</v>
      </c>
      <c r="T18" s="37"/>
      <c r="U18" s="38">
        <f>IF(G21="","",G21)</f>
        <v>9</v>
      </c>
      <c r="V18" s="36"/>
      <c r="W18" s="37">
        <f>IF(I22="","",I22)</f>
        <v>7</v>
      </c>
      <c r="X18" s="37"/>
      <c r="Y18" s="38">
        <f>IF(G22="","",G22)</f>
        <v>5</v>
      </c>
      <c r="Z18" s="36"/>
      <c r="AA18" s="37">
        <f>IF(I23="","",I23)</f>
      </c>
      <c r="AB18" s="37"/>
      <c r="AC18" s="38">
        <f>IF(G23="","",G23)</f>
      </c>
      <c r="AD18" s="36"/>
      <c r="AE18" s="37">
        <f>IF(I24="","",I24)</f>
      </c>
      <c r="AF18" s="37"/>
      <c r="AG18" s="38">
        <f>IF(G24="","",G24)</f>
      </c>
      <c r="AH18" s="36"/>
      <c r="AI18" s="37">
        <f>IF(I25="","",I25)</f>
      </c>
      <c r="AJ18" s="37"/>
      <c r="AK18" s="38">
        <f>IF(G25="","",G25)</f>
      </c>
      <c r="AL18" s="30">
        <f aca="true" t="shared" si="45" ref="AL18:AL25">IF(C18&gt;E18,1,0)+IF(G18&gt;I18,1,0)+IF(K18&gt;M18,1,0)+IF(O18&gt;Q18,1,0)+IF(S18&gt;U18,1,0)+IF(W18&gt;Y18,1,0)+IF(AA18&gt;AC18,1,0)+IF(AI18&gt;AK18,1,0)+IF(AE18&gt;AG18,1,0)</f>
        <v>4</v>
      </c>
      <c r="AM18" s="30">
        <f aca="true" t="shared" si="46" ref="AM18:AM25">IF(C18&lt;E18,1,0)+IF(G18&lt;I18,1,0)+IF(K18&lt;M18,1,0)+IF(O18&lt;Q18,1,0)+IF(S18&lt;U18,1,0)+IF(W18&lt;Y18,1,0)+IF(AA18&lt;AC18,1,0)+IF(AI18&lt;AK18,1,0)+IF(AE18&lt;AG18,1,0)</f>
        <v>0</v>
      </c>
      <c r="AN18" s="30">
        <f aca="true" t="shared" si="47" ref="AN18:AN25">IF(AND(ISNUMBER(C18),C18=E18),1,0)+IF(AND(ISNUMBER(G18),G18=I18),1,0)+IF(AND(ISNUMBER(K18),K18=M18),1,)+IF(AND(ISNUMBER(O18),O18=Q18),1,0)+IF(AND(ISNUMBER(S18),S18=U18),1,0)+IF(AND(ISNUMBER(W18),W18=Y18),1,0)+IF(AND(ISNUMBER(AA18),AA18=AC18),1,0)+IF(AND(ISNUMBER(AI18),AI18=AK18),1,0)+IF(AND(ISNUMBER(AE18),AE18=AG18),1,0)</f>
        <v>1</v>
      </c>
      <c r="AO18" s="31">
        <f t="shared" si="25"/>
        <v>8</v>
      </c>
      <c r="AP18" s="32">
        <f t="shared" si="26"/>
        <v>0</v>
      </c>
      <c r="AQ18" s="33">
        <f t="shared" si="27"/>
        <v>1</v>
      </c>
      <c r="AR18" s="34">
        <f t="shared" si="28"/>
        <v>9</v>
      </c>
      <c r="AS18" s="30">
        <f aca="true" t="shared" si="48" ref="AS18:AS25">IF(ISNUMBER(G18),G18,0)+IF(ISNUMBER(K18),K18,0)+IF(ISNUMBER(O18),O18,0)+IF(ISNUMBER(AA18),AA18,0)+IF(ISNUMBER(AI18),AI18,0)+IF(ISNUMBER(S18),S18,0)+IF(ISNUMBER(W18),W18,0)+IF(ISNUMBER(C18),C18,0)+IF(ISNUMBER(AE18),AE18,0)</f>
        <v>43</v>
      </c>
      <c r="AT18" s="30">
        <f aca="true" t="shared" si="49" ref="AT18:AT25">IF(ISNUMBER(I18),I18,0)+IF(ISNUMBER(M18),M18,0)+IF(ISNUMBER(Q18),Q18,0)+IF(ISNUMBER(AC18),AC18,0)+IF(ISNUMBER(AK18),AK18,0)+IF(ISNUMBER(U18),U18,0)+IF(ISNUMBER(Y18),Y18,0)+IF(ISNUMBER(E18),E18,0)+IF(ISNUMBER(AG18),AG18,0)</f>
        <v>26</v>
      </c>
      <c r="AU18" s="25">
        <f t="shared" si="29"/>
        <v>17</v>
      </c>
      <c r="AV18" s="1"/>
      <c r="AW18" s="1"/>
      <c r="AX18" s="42">
        <f>BC18+COUNTIF(BC$16:BC17,BC18)</f>
        <v>1</v>
      </c>
      <c r="AY18" s="44" t="str">
        <f t="shared" si="30"/>
        <v>五香メッツ</v>
      </c>
      <c r="AZ18" s="42">
        <f t="shared" si="31"/>
        <v>9</v>
      </c>
      <c r="BA18" s="42">
        <f t="shared" si="32"/>
        <v>4</v>
      </c>
      <c r="BB18" s="42">
        <f t="shared" si="33"/>
        <v>5</v>
      </c>
      <c r="BC18" s="42">
        <f t="shared" si="34"/>
        <v>1</v>
      </c>
      <c r="BD18" s="43">
        <f t="shared" si="35"/>
        <v>2</v>
      </c>
      <c r="BE18" s="45" t="str">
        <f t="shared" si="36"/>
        <v>松戸KSカージナルス
</v>
      </c>
      <c r="BF18" s="45">
        <f t="shared" si="37"/>
        <v>6</v>
      </c>
      <c r="BG18" s="45">
        <f t="shared" si="38"/>
        <v>3</v>
      </c>
      <c r="BH18" s="45">
        <f t="shared" si="39"/>
        <v>4</v>
      </c>
      <c r="BI18" s="55"/>
      <c r="BK18" s="42">
        <f>BN18+COUNTIF(BN$16:BN17,BN18)</f>
        <v>1</v>
      </c>
      <c r="BL18" s="44" t="str">
        <f t="shared" si="40"/>
        <v>五香メッツ</v>
      </c>
      <c r="BM18" s="42">
        <f t="shared" si="41"/>
        <v>5</v>
      </c>
      <c r="BN18" s="42">
        <f t="shared" si="42"/>
        <v>1</v>
      </c>
      <c r="BO18" s="43">
        <f t="shared" si="43"/>
        <v>2</v>
      </c>
      <c r="BP18" s="45" t="str">
        <f t="shared" si="44"/>
        <v>松戸KSカージナルス
</v>
      </c>
    </row>
    <row r="19" spans="1:68" ht="19.5" customHeight="1">
      <c r="A19" s="108" t="s">
        <v>83</v>
      </c>
      <c r="B19" s="36"/>
      <c r="C19" s="37">
        <v>5</v>
      </c>
      <c r="D19" s="37"/>
      <c r="E19" s="38">
        <v>0</v>
      </c>
      <c r="F19" s="36"/>
      <c r="G19" s="37">
        <v>1</v>
      </c>
      <c r="H19" s="37"/>
      <c r="I19" s="38">
        <v>4</v>
      </c>
      <c r="J19" s="36"/>
      <c r="K19" s="37"/>
      <c r="L19" s="37"/>
      <c r="M19" s="38"/>
      <c r="N19" s="36"/>
      <c r="O19" s="37">
        <f>IF(M20="","",M20)</f>
        <v>5</v>
      </c>
      <c r="P19" s="37"/>
      <c r="Q19" s="38">
        <f>IF(K20="","",K20)</f>
        <v>4</v>
      </c>
      <c r="R19" s="36"/>
      <c r="S19" s="37">
        <f>IF(M21="","",M21)</f>
        <v>3</v>
      </c>
      <c r="T19" s="37"/>
      <c r="U19" s="38">
        <f>IF(K21="","",K21)</f>
        <v>0</v>
      </c>
      <c r="V19" s="36"/>
      <c r="W19" s="37">
        <f>IF(M22="","",M22)</f>
      </c>
      <c r="X19" s="37"/>
      <c r="Y19" s="38">
        <f>IF(K22="","",K22)</f>
      </c>
      <c r="Z19" s="36"/>
      <c r="AA19" s="37">
        <f>IF(M23="","",M23)</f>
      </c>
      <c r="AB19" s="37"/>
      <c r="AC19" s="38">
        <f>IF(K23="","",K23)</f>
      </c>
      <c r="AD19" s="36"/>
      <c r="AE19" s="37">
        <f>IF(M24="","",M24)</f>
      </c>
      <c r="AF19" s="37"/>
      <c r="AG19" s="38">
        <f>IF(K24="","",K24)</f>
      </c>
      <c r="AH19" s="36"/>
      <c r="AI19" s="37">
        <f>IF(M25="","",M25)</f>
      </c>
      <c r="AJ19" s="37"/>
      <c r="AK19" s="38">
        <f>IF(K25="","",K25)</f>
      </c>
      <c r="AL19" s="30">
        <f t="shared" si="45"/>
        <v>3</v>
      </c>
      <c r="AM19" s="30">
        <f t="shared" si="46"/>
        <v>1</v>
      </c>
      <c r="AN19" s="30">
        <f t="shared" si="47"/>
        <v>0</v>
      </c>
      <c r="AO19" s="31">
        <f t="shared" si="25"/>
        <v>6</v>
      </c>
      <c r="AP19" s="32">
        <f t="shared" si="26"/>
        <v>0</v>
      </c>
      <c r="AQ19" s="33">
        <f t="shared" si="27"/>
        <v>0</v>
      </c>
      <c r="AR19" s="34">
        <f t="shared" si="28"/>
        <v>6</v>
      </c>
      <c r="AS19" s="30">
        <f t="shared" si="48"/>
        <v>14</v>
      </c>
      <c r="AT19" s="30">
        <f t="shared" si="49"/>
        <v>8</v>
      </c>
      <c r="AU19" s="35">
        <f t="shared" si="29"/>
        <v>6</v>
      </c>
      <c r="AV19" s="1"/>
      <c r="AW19" s="1"/>
      <c r="AX19" s="42">
        <f>BC19+COUNTIF(BC$16:BC18,BC19)</f>
        <v>2</v>
      </c>
      <c r="AY19" s="44" t="str">
        <f t="shared" si="30"/>
        <v>松戸KSカージナルス
</v>
      </c>
      <c r="AZ19" s="42">
        <f t="shared" si="31"/>
        <v>6</v>
      </c>
      <c r="BA19" s="42">
        <f t="shared" si="32"/>
        <v>3</v>
      </c>
      <c r="BB19" s="42">
        <f t="shared" si="33"/>
        <v>4</v>
      </c>
      <c r="BC19" s="42">
        <f t="shared" si="34"/>
        <v>2</v>
      </c>
      <c r="BD19" s="43">
        <f t="shared" si="35"/>
        <v>3</v>
      </c>
      <c r="BE19" s="45" t="str">
        <f t="shared" si="36"/>
        <v>柏ドリームス</v>
      </c>
      <c r="BF19" s="45">
        <f t="shared" si="37"/>
        <v>5</v>
      </c>
      <c r="BG19" s="45">
        <f t="shared" si="38"/>
        <v>2</v>
      </c>
      <c r="BH19" s="45">
        <f t="shared" si="39"/>
        <v>4</v>
      </c>
      <c r="BI19" s="55"/>
      <c r="BK19" s="42">
        <f>BN19+COUNTIF(BN$16:BN18,BN19)</f>
        <v>2</v>
      </c>
      <c r="BL19" s="44" t="str">
        <f t="shared" si="40"/>
        <v>松戸KSカージナルス
</v>
      </c>
      <c r="BM19" s="42">
        <f t="shared" si="41"/>
        <v>4</v>
      </c>
      <c r="BN19" s="42">
        <f t="shared" si="42"/>
        <v>2</v>
      </c>
      <c r="BO19" s="43">
        <f t="shared" si="43"/>
        <v>2</v>
      </c>
      <c r="BP19" s="45" t="str">
        <f t="shared" si="44"/>
        <v>牧の原ジュニアーズ</v>
      </c>
    </row>
    <row r="20" spans="1:68" ht="19.5" customHeight="1">
      <c r="A20" s="108" t="s">
        <v>67</v>
      </c>
      <c r="B20" s="36"/>
      <c r="C20" s="37"/>
      <c r="D20" s="37"/>
      <c r="E20" s="38"/>
      <c r="F20" s="36"/>
      <c r="G20" s="37">
        <v>11</v>
      </c>
      <c r="H20" s="37"/>
      <c r="I20" s="38">
        <v>12</v>
      </c>
      <c r="J20" s="36"/>
      <c r="K20" s="37">
        <v>4</v>
      </c>
      <c r="L20" s="37"/>
      <c r="M20" s="38">
        <v>5</v>
      </c>
      <c r="N20" s="36"/>
      <c r="O20" s="37"/>
      <c r="P20" s="37"/>
      <c r="Q20" s="38"/>
      <c r="R20" s="36"/>
      <c r="S20" s="37">
        <f>IF(Q21="","",Q21)</f>
        <v>1</v>
      </c>
      <c r="T20" s="37"/>
      <c r="U20" s="38">
        <f>IF(O21="","",O21)</f>
        <v>18</v>
      </c>
      <c r="V20" s="36"/>
      <c r="W20" s="37">
        <f>IF(Q22="","",Q22)</f>
        <v>1</v>
      </c>
      <c r="X20" s="37"/>
      <c r="Y20" s="38">
        <f>IF(O22="","",O22)</f>
        <v>24</v>
      </c>
      <c r="Z20" s="36"/>
      <c r="AA20" s="37">
        <f>IF(Q23="","",Q23)</f>
      </c>
      <c r="AB20" s="37"/>
      <c r="AC20" s="38">
        <f>IF(O23="","",O23)</f>
      </c>
      <c r="AD20" s="36"/>
      <c r="AE20" s="37">
        <f>IF(Q24="","",Q24)</f>
      </c>
      <c r="AF20" s="37"/>
      <c r="AG20" s="38">
        <f>IF(O24="","",O24)</f>
      </c>
      <c r="AH20" s="36"/>
      <c r="AI20" s="37">
        <f>IF(Q25="","",Q25)</f>
      </c>
      <c r="AJ20" s="37"/>
      <c r="AK20" s="38">
        <f>IF(O25="","",O25)</f>
      </c>
      <c r="AL20" s="30">
        <f t="shared" si="45"/>
        <v>0</v>
      </c>
      <c r="AM20" s="30">
        <f t="shared" si="46"/>
        <v>4</v>
      </c>
      <c r="AN20" s="30">
        <f t="shared" si="47"/>
        <v>0</v>
      </c>
      <c r="AO20" s="31">
        <f t="shared" si="25"/>
        <v>0</v>
      </c>
      <c r="AP20" s="32">
        <f t="shared" si="26"/>
        <v>0</v>
      </c>
      <c r="AQ20" s="33">
        <f t="shared" si="27"/>
        <v>0</v>
      </c>
      <c r="AR20" s="34">
        <f t="shared" si="28"/>
        <v>0</v>
      </c>
      <c r="AS20" s="30">
        <f t="shared" si="48"/>
        <v>17</v>
      </c>
      <c r="AT20" s="30">
        <f t="shared" si="49"/>
        <v>59</v>
      </c>
      <c r="AU20" s="25">
        <f t="shared" si="29"/>
        <v>-42</v>
      </c>
      <c r="AV20" s="1"/>
      <c r="AW20" s="1"/>
      <c r="AX20" s="42">
        <f>BC20+COUNTIF(BC$16:BC19,BC20)</f>
        <v>6</v>
      </c>
      <c r="AY20" s="44" t="str">
        <f t="shared" si="30"/>
        <v>牧の原ジュニアーズ</v>
      </c>
      <c r="AZ20" s="42">
        <f t="shared" si="31"/>
        <v>0</v>
      </c>
      <c r="BA20" s="42">
        <f t="shared" si="32"/>
        <v>0</v>
      </c>
      <c r="BB20" s="42">
        <f t="shared" si="33"/>
        <v>4</v>
      </c>
      <c r="BC20" s="42">
        <f t="shared" si="34"/>
        <v>5</v>
      </c>
      <c r="BD20" s="43">
        <f t="shared" si="35"/>
        <v>4</v>
      </c>
      <c r="BE20" s="45" t="str">
        <f t="shared" si="36"/>
        <v>増尾レッドスターズ</v>
      </c>
      <c r="BF20" s="45">
        <f t="shared" si="37"/>
        <v>2</v>
      </c>
      <c r="BG20" s="45">
        <f t="shared" si="38"/>
        <v>1</v>
      </c>
      <c r="BH20" s="45">
        <f t="shared" si="39"/>
        <v>2</v>
      </c>
      <c r="BI20" s="55"/>
      <c r="BK20" s="42">
        <f>BN20+COUNTIF(BN$16:BN19,BN20)</f>
        <v>3</v>
      </c>
      <c r="BL20" s="44" t="str">
        <f t="shared" si="40"/>
        <v>牧の原ジュニアーズ</v>
      </c>
      <c r="BM20" s="42">
        <f t="shared" si="41"/>
        <v>4</v>
      </c>
      <c r="BN20" s="42">
        <f t="shared" si="42"/>
        <v>2</v>
      </c>
      <c r="BO20" s="43">
        <f t="shared" si="43"/>
        <v>2</v>
      </c>
      <c r="BP20" s="45" t="str">
        <f t="shared" si="44"/>
        <v>柏ドリームス</v>
      </c>
    </row>
    <row r="21" spans="1:68" ht="19.5" customHeight="1">
      <c r="A21" s="108" t="s">
        <v>86</v>
      </c>
      <c r="B21" s="36"/>
      <c r="C21" s="37">
        <v>10</v>
      </c>
      <c r="D21" s="37"/>
      <c r="E21" s="38">
        <v>2</v>
      </c>
      <c r="F21" s="36"/>
      <c r="G21" s="37">
        <v>9</v>
      </c>
      <c r="H21" s="37"/>
      <c r="I21" s="38">
        <v>9</v>
      </c>
      <c r="J21" s="36"/>
      <c r="K21" s="37">
        <v>0</v>
      </c>
      <c r="L21" s="37"/>
      <c r="M21" s="38">
        <v>3</v>
      </c>
      <c r="N21" s="36"/>
      <c r="O21" s="37">
        <v>18</v>
      </c>
      <c r="P21" s="37"/>
      <c r="Q21" s="38">
        <v>1</v>
      </c>
      <c r="R21" s="36"/>
      <c r="S21" s="37"/>
      <c r="T21" s="37"/>
      <c r="U21" s="38"/>
      <c r="V21" s="36"/>
      <c r="W21" s="37">
        <f>IF(U22="","",U22)</f>
      </c>
      <c r="X21" s="37"/>
      <c r="Y21" s="38">
        <f>IF(S22="","",S22)</f>
      </c>
      <c r="Z21" s="36"/>
      <c r="AA21" s="37">
        <f>IF(U23="","",U23)</f>
      </c>
      <c r="AB21" s="37"/>
      <c r="AC21" s="38">
        <f>IF(S23="","",S23)</f>
      </c>
      <c r="AD21" s="36"/>
      <c r="AE21" s="37">
        <f>IF(U24="","",U24)</f>
      </c>
      <c r="AF21" s="37"/>
      <c r="AG21" s="38">
        <f>IF(S24="","",S24)</f>
      </c>
      <c r="AH21" s="36"/>
      <c r="AI21" s="37">
        <f>IF(U25="","",U25)</f>
      </c>
      <c r="AJ21" s="37"/>
      <c r="AK21" s="38">
        <f>IF(S25="","",S25)</f>
      </c>
      <c r="AL21" s="30">
        <f t="shared" si="45"/>
        <v>2</v>
      </c>
      <c r="AM21" s="30">
        <f t="shared" si="46"/>
        <v>1</v>
      </c>
      <c r="AN21" s="30">
        <f t="shared" si="47"/>
        <v>1</v>
      </c>
      <c r="AO21" s="31">
        <f t="shared" si="25"/>
        <v>4</v>
      </c>
      <c r="AP21" s="32">
        <f t="shared" si="26"/>
        <v>0</v>
      </c>
      <c r="AQ21" s="33">
        <f t="shared" si="27"/>
        <v>1</v>
      </c>
      <c r="AR21" s="34">
        <f t="shared" si="28"/>
        <v>5</v>
      </c>
      <c r="AS21" s="30">
        <f t="shared" si="48"/>
        <v>37</v>
      </c>
      <c r="AT21" s="30">
        <f t="shared" si="49"/>
        <v>15</v>
      </c>
      <c r="AU21" s="25">
        <f t="shared" si="29"/>
        <v>22</v>
      </c>
      <c r="AV21" s="1"/>
      <c r="AW21" s="1"/>
      <c r="AX21" s="42">
        <f>BC21+COUNTIF(BC$16:BC20,BC21)</f>
        <v>3</v>
      </c>
      <c r="AY21" s="44" t="str">
        <f t="shared" si="30"/>
        <v>柏ドリームス</v>
      </c>
      <c r="AZ21" s="42">
        <f t="shared" si="31"/>
        <v>5</v>
      </c>
      <c r="BA21" s="42">
        <f t="shared" si="32"/>
        <v>2</v>
      </c>
      <c r="BB21" s="42">
        <f t="shared" si="33"/>
        <v>4</v>
      </c>
      <c r="BC21" s="42">
        <f t="shared" si="34"/>
        <v>3</v>
      </c>
      <c r="BD21" s="43">
        <f t="shared" si="35"/>
        <v>5</v>
      </c>
      <c r="BE21" s="45" t="str">
        <f t="shared" si="36"/>
        <v>矢切コンドルス</v>
      </c>
      <c r="BF21" s="45">
        <f t="shared" si="37"/>
        <v>0</v>
      </c>
      <c r="BG21" s="45">
        <f t="shared" si="38"/>
        <v>0</v>
      </c>
      <c r="BH21" s="45">
        <f t="shared" si="39"/>
        <v>3</v>
      </c>
      <c r="BI21" s="55"/>
      <c r="BK21" s="42">
        <f>BN21+COUNTIF(BN$16:BN20,BN21)</f>
        <v>4</v>
      </c>
      <c r="BL21" s="44" t="str">
        <f t="shared" si="40"/>
        <v>柏ドリームス</v>
      </c>
      <c r="BM21" s="42">
        <f t="shared" si="41"/>
        <v>4</v>
      </c>
      <c r="BN21" s="42">
        <f t="shared" si="42"/>
        <v>2</v>
      </c>
      <c r="BO21" s="43">
        <f t="shared" si="43"/>
        <v>5</v>
      </c>
      <c r="BP21" s="45" t="str">
        <f t="shared" si="44"/>
        <v>矢切コンドルス</v>
      </c>
    </row>
    <row r="22" spans="1:68" ht="19.5" customHeight="1">
      <c r="A22" s="108" t="s">
        <v>94</v>
      </c>
      <c r="B22" s="36"/>
      <c r="C22" s="37"/>
      <c r="D22" s="37"/>
      <c r="E22" s="38"/>
      <c r="F22" s="36"/>
      <c r="G22" s="37">
        <v>5</v>
      </c>
      <c r="H22" s="37"/>
      <c r="I22" s="38">
        <v>7</v>
      </c>
      <c r="J22" s="36"/>
      <c r="K22" s="37"/>
      <c r="L22" s="37"/>
      <c r="M22" s="38"/>
      <c r="N22" s="36"/>
      <c r="O22" s="37">
        <v>24</v>
      </c>
      <c r="P22" s="37"/>
      <c r="Q22" s="38">
        <v>1</v>
      </c>
      <c r="R22" s="36"/>
      <c r="S22" s="37"/>
      <c r="T22" s="37"/>
      <c r="U22" s="38"/>
      <c r="V22" s="36"/>
      <c r="W22" s="37"/>
      <c r="X22" s="37"/>
      <c r="Y22" s="38"/>
      <c r="Z22" s="36"/>
      <c r="AA22" s="37">
        <f>IF(Y23="","",Y23)</f>
      </c>
      <c r="AB22" s="37"/>
      <c r="AC22" s="38">
        <f>IF(W23="","",W23)</f>
      </c>
      <c r="AD22" s="36"/>
      <c r="AE22" s="37">
        <f>IF(Y24="","",Y24)</f>
      </c>
      <c r="AF22" s="37"/>
      <c r="AG22" s="38">
        <f>IF(W24="","",W24)</f>
      </c>
      <c r="AH22" s="36"/>
      <c r="AI22" s="37">
        <f>IF(Y25="","",Y25)</f>
      </c>
      <c r="AJ22" s="37"/>
      <c r="AK22" s="38">
        <f>IF(W25="","",W25)</f>
      </c>
      <c r="AL22" s="30">
        <f t="shared" si="45"/>
        <v>1</v>
      </c>
      <c r="AM22" s="30">
        <f t="shared" si="46"/>
        <v>1</v>
      </c>
      <c r="AN22" s="30">
        <f t="shared" si="47"/>
        <v>0</v>
      </c>
      <c r="AO22" s="31">
        <f t="shared" si="25"/>
        <v>2</v>
      </c>
      <c r="AP22" s="32">
        <f t="shared" si="26"/>
        <v>0</v>
      </c>
      <c r="AQ22" s="33">
        <f t="shared" si="27"/>
        <v>0</v>
      </c>
      <c r="AR22" s="34">
        <f t="shared" si="28"/>
        <v>2</v>
      </c>
      <c r="AS22" s="30">
        <f t="shared" si="48"/>
        <v>29</v>
      </c>
      <c r="AT22" s="30">
        <f t="shared" si="49"/>
        <v>8</v>
      </c>
      <c r="AU22" s="30">
        <f t="shared" si="29"/>
        <v>21</v>
      </c>
      <c r="AV22" s="1"/>
      <c r="AW22" s="1"/>
      <c r="AX22" s="42">
        <f>BC22+COUNTIF(BC$16:BC21,BC22)</f>
        <v>4</v>
      </c>
      <c r="AY22" s="44" t="str">
        <f t="shared" si="30"/>
        <v>増尾レッドスターズ</v>
      </c>
      <c r="AZ22" s="42">
        <f t="shared" si="31"/>
        <v>2</v>
      </c>
      <c r="BA22" s="42">
        <f t="shared" si="32"/>
        <v>1</v>
      </c>
      <c r="BB22" s="42">
        <f t="shared" si="33"/>
        <v>2</v>
      </c>
      <c r="BC22" s="42">
        <f t="shared" si="34"/>
        <v>4</v>
      </c>
      <c r="BD22" s="43">
        <f t="shared" si="35"/>
        <v>5</v>
      </c>
      <c r="BE22" s="45" t="str">
        <f t="shared" si="36"/>
        <v>牧の原ジュニアーズ</v>
      </c>
      <c r="BF22" s="45">
        <f t="shared" si="37"/>
        <v>0</v>
      </c>
      <c r="BG22" s="45">
        <f t="shared" si="38"/>
        <v>0</v>
      </c>
      <c r="BH22" s="45">
        <f t="shared" si="39"/>
        <v>4</v>
      </c>
      <c r="BI22" s="55"/>
      <c r="BK22" s="42">
        <f>BN22+COUNTIF(BN$16:BN21,BN22)</f>
        <v>6</v>
      </c>
      <c r="BL22" s="44" t="str">
        <f t="shared" si="40"/>
        <v>増尾レッドスターズ</v>
      </c>
      <c r="BM22" s="42">
        <f t="shared" si="41"/>
        <v>2</v>
      </c>
      <c r="BN22" s="42">
        <f t="shared" si="42"/>
        <v>6</v>
      </c>
      <c r="BO22" s="43">
        <f t="shared" si="43"/>
        <v>6</v>
      </c>
      <c r="BP22" s="45" t="str">
        <f t="shared" si="44"/>
        <v>増尾レッドスターズ</v>
      </c>
    </row>
    <row r="23" spans="1:68" ht="19.5" customHeight="1">
      <c r="A23" s="108"/>
      <c r="B23" s="36"/>
      <c r="C23" s="37"/>
      <c r="D23" s="37"/>
      <c r="E23" s="38"/>
      <c r="F23" s="36"/>
      <c r="G23" s="37"/>
      <c r="H23" s="37"/>
      <c r="I23" s="38"/>
      <c r="J23" s="36"/>
      <c r="K23" s="37"/>
      <c r="L23" s="37"/>
      <c r="M23" s="38"/>
      <c r="N23" s="36"/>
      <c r="O23" s="37"/>
      <c r="P23" s="37"/>
      <c r="Q23" s="38"/>
      <c r="R23" s="36"/>
      <c r="S23" s="37"/>
      <c r="T23" s="37"/>
      <c r="U23" s="38"/>
      <c r="V23" s="36"/>
      <c r="W23" s="37"/>
      <c r="X23" s="37"/>
      <c r="Y23" s="38"/>
      <c r="Z23" s="36"/>
      <c r="AA23" s="37"/>
      <c r="AB23" s="37"/>
      <c r="AC23" s="38"/>
      <c r="AD23" s="36"/>
      <c r="AE23" s="37">
        <f>IF(AC24="","",AC24)</f>
      </c>
      <c r="AF23" s="37"/>
      <c r="AG23" s="38">
        <f>IF(AA24="","",AA24)</f>
      </c>
      <c r="AH23" s="36"/>
      <c r="AI23" s="37">
        <f>IF(AC25="","",AC25)</f>
      </c>
      <c r="AJ23" s="37"/>
      <c r="AK23" s="38">
        <f>IF(AA25="","",AA25)</f>
      </c>
      <c r="AL23" s="30">
        <f t="shared" si="45"/>
        <v>0</v>
      </c>
      <c r="AM23" s="30">
        <f t="shared" si="46"/>
        <v>0</v>
      </c>
      <c r="AN23" s="30">
        <f t="shared" si="47"/>
        <v>0</v>
      </c>
      <c r="AO23" s="31">
        <f>AL23*2</f>
        <v>0</v>
      </c>
      <c r="AP23" s="32">
        <f>AM23*0</f>
        <v>0</v>
      </c>
      <c r="AQ23" s="33">
        <f>AN23*1</f>
        <v>0</v>
      </c>
      <c r="AR23" s="34">
        <f>AO23+AP23+AQ23</f>
        <v>0</v>
      </c>
      <c r="AS23" s="30">
        <f t="shared" si="48"/>
        <v>0</v>
      </c>
      <c r="AT23" s="30">
        <f t="shared" si="49"/>
        <v>0</v>
      </c>
      <c r="AU23" s="30">
        <f>AS23-AT23</f>
        <v>0</v>
      </c>
      <c r="AV23" s="1"/>
      <c r="AW23" s="1"/>
      <c r="AX23" s="42"/>
      <c r="AY23" s="44"/>
      <c r="AZ23" s="42"/>
      <c r="BA23" s="42"/>
      <c r="BB23" s="42"/>
      <c r="BC23" s="42"/>
      <c r="BD23" s="43"/>
      <c r="BE23" s="45"/>
      <c r="BF23" s="45"/>
      <c r="BG23" s="45"/>
      <c r="BH23" s="45"/>
      <c r="BI23" s="55"/>
      <c r="BK23" s="42"/>
      <c r="BL23" s="44"/>
      <c r="BM23" s="42"/>
      <c r="BN23" s="42"/>
      <c r="BO23" s="43"/>
      <c r="BP23" s="45"/>
    </row>
    <row r="24" spans="1:68" ht="19.5" customHeight="1">
      <c r="A24" s="108"/>
      <c r="B24" s="36"/>
      <c r="C24" s="37"/>
      <c r="D24" s="37"/>
      <c r="E24" s="38"/>
      <c r="F24" s="36"/>
      <c r="G24" s="37"/>
      <c r="H24" s="37"/>
      <c r="I24" s="38"/>
      <c r="J24" s="36"/>
      <c r="K24" s="37"/>
      <c r="L24" s="37"/>
      <c r="M24" s="38"/>
      <c r="N24" s="36"/>
      <c r="O24" s="37"/>
      <c r="P24" s="37"/>
      <c r="Q24" s="38"/>
      <c r="R24" s="36"/>
      <c r="S24" s="37"/>
      <c r="T24" s="37"/>
      <c r="U24" s="38"/>
      <c r="V24" s="36"/>
      <c r="W24" s="37"/>
      <c r="X24" s="37"/>
      <c r="Y24" s="38"/>
      <c r="Z24" s="36"/>
      <c r="AA24" s="37"/>
      <c r="AB24" s="37"/>
      <c r="AC24" s="38"/>
      <c r="AD24" s="37"/>
      <c r="AE24" s="37"/>
      <c r="AF24" s="37"/>
      <c r="AG24" s="37"/>
      <c r="AH24" s="36"/>
      <c r="AI24" s="37">
        <f>IF(AG25="","",AG25)</f>
      </c>
      <c r="AJ24" s="37"/>
      <c r="AK24" s="38">
        <f>IF(AE25="","",AE25)</f>
      </c>
      <c r="AL24" s="30">
        <f>IF(C24&gt;E24,1,0)+IF(G24&gt;I24,1,0)+IF(K24&gt;M24,1,0)+IF(O24&gt;Q24,1,0)+IF(S24&gt;U24,1,0)+IF(W24&gt;Y24,1,0)+IF(AA24&gt;AC24,1,0)+IF(AI24&gt;AK24,1,0)+IF(AE24&gt;AG24,1,0)</f>
        <v>0</v>
      </c>
      <c r="AM24" s="30">
        <f>IF(C24&lt;E24,1,0)+IF(G24&lt;I24,1,0)+IF(K24&lt;M24,1,0)+IF(O24&lt;Q24,1,0)+IF(S24&lt;U24,1,0)+IF(W24&lt;Y24,1,0)+IF(AA24&lt;AC24,1,0)+IF(AI24&lt;AK24,1,0)+IF(AE24&lt;AG24,1,0)</f>
        <v>0</v>
      </c>
      <c r="AN24" s="30">
        <f>IF(AND(ISNUMBER(C24),C24=E24),1,0)+IF(AND(ISNUMBER(G24),G24=I24),1,0)+IF(AND(ISNUMBER(K24),K24=M24),1,)+IF(AND(ISNUMBER(O24),O24=Q24),1,0)+IF(AND(ISNUMBER(S24),S24=U24),1,0)+IF(AND(ISNUMBER(W24),W24=Y24),1,0)+IF(AND(ISNUMBER(AA24),AA24=AC24),1,0)+IF(AND(ISNUMBER(AI24),AI24=AK24),1,0)+IF(AND(ISNUMBER(AE24),AE24=AG24),1,0)</f>
        <v>0</v>
      </c>
      <c r="AO24" s="31">
        <f>AL24*2</f>
        <v>0</v>
      </c>
      <c r="AP24" s="32">
        <f>AM24*0</f>
        <v>0</v>
      </c>
      <c r="AQ24" s="33">
        <f>AN24*1</f>
        <v>0</v>
      </c>
      <c r="AR24" s="34">
        <f>AO24+AP24+AQ24</f>
        <v>0</v>
      </c>
      <c r="AS24" s="30">
        <f t="shared" si="48"/>
        <v>0</v>
      </c>
      <c r="AT24" s="30">
        <f t="shared" si="49"/>
        <v>0</v>
      </c>
      <c r="AU24" s="30">
        <f>AS24-AT24</f>
        <v>0</v>
      </c>
      <c r="AV24" s="1"/>
      <c r="AW24" s="1"/>
      <c r="AX24" s="42"/>
      <c r="AY24" s="44"/>
      <c r="AZ24" s="42"/>
      <c r="BA24" s="42"/>
      <c r="BB24" s="42"/>
      <c r="BC24" s="42"/>
      <c r="BD24" s="43"/>
      <c r="BE24" s="45"/>
      <c r="BF24" s="45"/>
      <c r="BG24" s="45"/>
      <c r="BH24" s="45"/>
      <c r="BI24" s="55"/>
      <c r="BK24" s="42"/>
      <c r="BL24" s="44"/>
      <c r="BM24" s="42"/>
      <c r="BN24" s="42"/>
      <c r="BO24" s="43"/>
      <c r="BP24" s="45"/>
    </row>
    <row r="25" spans="1:68" ht="19.5" customHeight="1">
      <c r="A25" s="107"/>
      <c r="B25" s="36"/>
      <c r="C25" s="37"/>
      <c r="D25" s="37"/>
      <c r="E25" s="38"/>
      <c r="F25" s="36"/>
      <c r="G25" s="37"/>
      <c r="H25" s="37"/>
      <c r="I25" s="38"/>
      <c r="J25" s="36"/>
      <c r="K25" s="37"/>
      <c r="L25" s="37"/>
      <c r="M25" s="38"/>
      <c r="N25" s="36"/>
      <c r="O25" s="37"/>
      <c r="P25" s="37"/>
      <c r="Q25" s="38"/>
      <c r="R25" s="36"/>
      <c r="S25" s="37"/>
      <c r="T25" s="37"/>
      <c r="U25" s="38"/>
      <c r="V25" s="36"/>
      <c r="W25" s="37"/>
      <c r="X25" s="37"/>
      <c r="Y25" s="38"/>
      <c r="Z25" s="36"/>
      <c r="AA25" s="37"/>
      <c r="AB25" s="37"/>
      <c r="AC25" s="38"/>
      <c r="AD25" s="37"/>
      <c r="AE25" s="37"/>
      <c r="AF25" s="37"/>
      <c r="AG25" s="37"/>
      <c r="AH25" s="36"/>
      <c r="AI25" s="37"/>
      <c r="AJ25" s="37"/>
      <c r="AK25" s="38"/>
      <c r="AL25" s="30">
        <f t="shared" si="45"/>
        <v>0</v>
      </c>
      <c r="AM25" s="30">
        <f t="shared" si="46"/>
        <v>0</v>
      </c>
      <c r="AN25" s="30">
        <f t="shared" si="47"/>
        <v>0</v>
      </c>
      <c r="AO25" s="31">
        <f>AL25*2</f>
        <v>0</v>
      </c>
      <c r="AP25" s="32">
        <f>AM25*0</f>
        <v>0</v>
      </c>
      <c r="AQ25" s="33">
        <f>AN25*1</f>
        <v>0</v>
      </c>
      <c r="AR25" s="34">
        <f>AO25+AP25+AQ25</f>
        <v>0</v>
      </c>
      <c r="AS25" s="30">
        <f t="shared" si="48"/>
        <v>0</v>
      </c>
      <c r="AT25" s="30">
        <f t="shared" si="49"/>
        <v>0</v>
      </c>
      <c r="AU25" s="30">
        <f>AS25-AT25</f>
        <v>0</v>
      </c>
      <c r="AV25" s="1"/>
      <c r="AW25" s="1"/>
      <c r="AX25" s="42">
        <f>BC25+COUNTIF(BC$16:BC24,BC25)</f>
        <v>0</v>
      </c>
      <c r="AY25" s="44"/>
      <c r="AZ25" s="42"/>
      <c r="BA25" s="42"/>
      <c r="BB25" s="42"/>
      <c r="BC25" s="42"/>
      <c r="BD25" s="43"/>
      <c r="BE25" s="45"/>
      <c r="BF25" s="45"/>
      <c r="BG25" s="45"/>
      <c r="BH25" s="45"/>
      <c r="BI25" s="55"/>
      <c r="BK25" s="42"/>
      <c r="BL25" s="44"/>
      <c r="BM25" s="42"/>
      <c r="BN25" s="42"/>
      <c r="BO25" s="43"/>
      <c r="BP25" s="45"/>
    </row>
    <row r="26" spans="1:68" ht="19.5" customHeight="1">
      <c r="A26" s="7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>
        <f>SUM(AL17:AL25)</f>
        <v>10</v>
      </c>
      <c r="AM26" s="6">
        <f>SUM(AM17:AM25)</f>
        <v>10</v>
      </c>
      <c r="AN26" s="6">
        <f>SUM(AN17:AN25)</f>
        <v>2</v>
      </c>
      <c r="AO26" s="6"/>
      <c r="AP26" s="6"/>
      <c r="AQ26" s="6"/>
      <c r="AR26" s="1"/>
      <c r="AS26" s="6">
        <f>SUM(AS17:AS25)</f>
        <v>142</v>
      </c>
      <c r="AT26" s="6">
        <f>SUM(AT17:AT25)</f>
        <v>142</v>
      </c>
      <c r="AU26" s="6">
        <f>SUM(AU17:AU25)</f>
        <v>0</v>
      </c>
      <c r="AX26" s="46"/>
      <c r="AY26" s="47"/>
      <c r="AZ26" s="46"/>
      <c r="BA26" s="46"/>
      <c r="BB26" s="46"/>
      <c r="BC26" s="46"/>
      <c r="BD26" s="48"/>
      <c r="BE26" s="49"/>
      <c r="BF26" s="55"/>
      <c r="BG26" s="55"/>
      <c r="BH26" s="55"/>
      <c r="BI26" s="55"/>
      <c r="BJ26" s="50"/>
      <c r="BK26" s="46"/>
      <c r="BL26" s="47"/>
      <c r="BM26" s="113">
        <f>SUM(BM17:BM25)/2</f>
        <v>11</v>
      </c>
      <c r="BN26" s="3">
        <f>6*5/2</f>
        <v>15</v>
      </c>
      <c r="BO26" s="48"/>
      <c r="BP26" s="49"/>
    </row>
    <row r="27" spans="1:51" ht="19.5" customHeight="1">
      <c r="A27" s="4" t="s">
        <v>2</v>
      </c>
      <c r="B27" s="73" t="s">
        <v>53</v>
      </c>
      <c r="C27" s="51"/>
      <c r="D27" s="51"/>
      <c r="E27" s="51"/>
      <c r="F27" s="51"/>
      <c r="G27" s="171" t="str">
        <f>"１日"&amp;ROUND((BN37-BM37)/'戦績'!N42,1)&amp;"試合"</f>
        <v>１日0試合</v>
      </c>
      <c r="H27" s="171"/>
      <c r="I27" s="171"/>
      <c r="J27" s="171"/>
      <c r="K27" s="163" t="s">
        <v>25</v>
      </c>
      <c r="L27" s="163"/>
      <c r="M27" s="163"/>
      <c r="N27" s="163"/>
      <c r="O27" s="173">
        <f>IF(C63&gt;C62,+BE29,"")</f>
      </c>
      <c r="P27" s="173"/>
      <c r="Q27" s="173"/>
      <c r="R27" s="173"/>
      <c r="S27" s="173"/>
      <c r="T27" s="52"/>
      <c r="U27" s="163" t="s">
        <v>22</v>
      </c>
      <c r="V27" s="163"/>
      <c r="W27" s="163"/>
      <c r="X27" s="163"/>
      <c r="Y27" s="165">
        <f>IF(C63&gt;C62,+BE30,"")</f>
      </c>
      <c r="Z27" s="165"/>
      <c r="AA27" s="165"/>
      <c r="AB27" s="165"/>
      <c r="AC27" s="165"/>
      <c r="AD27" s="165"/>
      <c r="AE27" s="165"/>
      <c r="AF27" s="165"/>
      <c r="AG27" s="165"/>
      <c r="AH27" s="165"/>
      <c r="AI27" s="1"/>
      <c r="AJ27" s="54" t="s">
        <v>26</v>
      </c>
      <c r="AK27" s="1"/>
      <c r="AL27" s="1"/>
      <c r="AM27" s="1"/>
      <c r="AN27" s="169">
        <f>+BM37/(MAX(AX29:AX36)*(MAX(AX29:AX36)-1)/2)</f>
        <v>0.9333333333333333</v>
      </c>
      <c r="AO27" s="169"/>
      <c r="AP27" s="60">
        <f>IF(AL26=AM26,"","計算間違い")</f>
      </c>
      <c r="AQ27" s="1"/>
      <c r="AR27" s="1"/>
      <c r="AS27" s="1"/>
      <c r="AT27" s="60">
        <f>IF(AN26/2=TRUNC(AN26/2,0),"","計算間違い")</f>
      </c>
      <c r="AU27" s="1"/>
      <c r="AV27" s="1"/>
      <c r="AW27" s="1"/>
      <c r="AX27" s="1"/>
      <c r="AY27" s="1"/>
    </row>
    <row r="28" spans="1:65" ht="19.5" customHeight="1">
      <c r="A28" s="68"/>
      <c r="B28" s="164" t="str">
        <f>+A29</f>
        <v>セントラルパークス</v>
      </c>
      <c r="C28" s="164"/>
      <c r="D28" s="164"/>
      <c r="E28" s="164"/>
      <c r="F28" s="164" t="str">
        <f>+A30</f>
        <v>大橋みどりファイターズ</v>
      </c>
      <c r="G28" s="164"/>
      <c r="H28" s="164"/>
      <c r="I28" s="164"/>
      <c r="J28" s="164" t="str">
        <f>+A31</f>
        <v>双葉</v>
      </c>
      <c r="K28" s="164"/>
      <c r="L28" s="164"/>
      <c r="M28" s="164"/>
      <c r="N28" s="164" t="str">
        <f>+A32</f>
        <v>小金原ビクトリー</v>
      </c>
      <c r="O28" s="164"/>
      <c r="P28" s="164"/>
      <c r="Q28" s="164"/>
      <c r="R28" s="164" t="str">
        <f>+A33</f>
        <v>トライスター</v>
      </c>
      <c r="S28" s="164"/>
      <c r="T28" s="164"/>
      <c r="U28" s="164"/>
      <c r="V28" s="164" t="str">
        <f>+A34</f>
        <v>柏南・新柏ツィンズ</v>
      </c>
      <c r="W28" s="164"/>
      <c r="X28" s="164"/>
      <c r="Y28" s="164"/>
      <c r="Z28" s="164"/>
      <c r="AA28" s="164"/>
      <c r="AB28" s="164"/>
      <c r="AC28" s="164"/>
      <c r="AD28" s="164"/>
      <c r="AE28" s="164"/>
      <c r="AF28" s="164"/>
      <c r="AG28" s="164"/>
      <c r="AH28" s="166"/>
      <c r="AI28" s="167"/>
      <c r="AJ28" s="167"/>
      <c r="AK28" s="168"/>
      <c r="AL28" s="25" t="s">
        <v>4</v>
      </c>
      <c r="AM28" s="25" t="s">
        <v>5</v>
      </c>
      <c r="AN28" s="25" t="s">
        <v>6</v>
      </c>
      <c r="AO28" s="26" t="s">
        <v>11</v>
      </c>
      <c r="AP28" s="27" t="s">
        <v>12</v>
      </c>
      <c r="AQ28" s="28" t="s">
        <v>13</v>
      </c>
      <c r="AR28" s="29" t="s">
        <v>7</v>
      </c>
      <c r="AS28" s="25" t="s">
        <v>8</v>
      </c>
      <c r="AT28" s="25" t="s">
        <v>9</v>
      </c>
      <c r="AU28" s="25" t="s">
        <v>10</v>
      </c>
      <c r="AV28" s="1"/>
      <c r="AW28" s="1"/>
      <c r="AY28" s="3" t="s">
        <v>17</v>
      </c>
      <c r="AZ28" s="3" t="s">
        <v>18</v>
      </c>
      <c r="BL28" s="3" t="s">
        <v>17</v>
      </c>
      <c r="BM28" s="3" t="s">
        <v>19</v>
      </c>
    </row>
    <row r="29" spans="1:68" ht="19.5" customHeight="1">
      <c r="A29" s="79" t="s">
        <v>68</v>
      </c>
      <c r="B29" s="36"/>
      <c r="C29" s="37"/>
      <c r="D29" s="37"/>
      <c r="E29" s="38"/>
      <c r="F29" s="36"/>
      <c r="G29" s="37">
        <f>IF(E30="","",E30)</f>
        <v>3</v>
      </c>
      <c r="H29" s="37"/>
      <c r="I29" s="38">
        <f>IF(C30="","",C30)</f>
        <v>4</v>
      </c>
      <c r="J29" s="36"/>
      <c r="K29" s="37">
        <f>IF(E31="","",E31)</f>
        <v>3</v>
      </c>
      <c r="L29" s="37"/>
      <c r="M29" s="38">
        <f>IF(C31="","",C31)</f>
        <v>2</v>
      </c>
      <c r="N29" s="36"/>
      <c r="O29" s="37">
        <f>IF(E32="","",E32)</f>
        <v>1</v>
      </c>
      <c r="P29" s="37"/>
      <c r="Q29" s="38">
        <f>IF(C32="","",C32)</f>
        <v>8</v>
      </c>
      <c r="R29" s="36"/>
      <c r="S29" s="37">
        <f>IF(E33="","",E33)</f>
        <v>1</v>
      </c>
      <c r="T29" s="37"/>
      <c r="U29" s="38">
        <f>IF(C33="","",C33)</f>
        <v>0</v>
      </c>
      <c r="V29" s="36"/>
      <c r="W29" s="37">
        <f>IF(E34="","",E34)</f>
        <v>5</v>
      </c>
      <c r="X29" s="37"/>
      <c r="Y29" s="38">
        <f>IF(C34="","",C34)</f>
        <v>3</v>
      </c>
      <c r="Z29" s="36"/>
      <c r="AA29" s="37">
        <f>IF(E35="","",E35)</f>
      </c>
      <c r="AB29" s="37"/>
      <c r="AC29" s="38">
        <f>IF(C35="","",C35)</f>
      </c>
      <c r="AD29" s="36"/>
      <c r="AE29" s="37">
        <f>IF(E36="","",E36)</f>
      </c>
      <c r="AF29" s="37"/>
      <c r="AG29" s="38">
        <f>IF(C36="","",C36)</f>
      </c>
      <c r="AH29" s="36"/>
      <c r="AI29" s="37"/>
      <c r="AJ29" s="37"/>
      <c r="AK29" s="38"/>
      <c r="AL29" s="30">
        <f>IF(C29&gt;E29,1,0)+IF(G29&gt;I29,1,0)+IF(K29&gt;M29,1,0)+IF(O29&gt;Q29,1,0)+IF(S29&gt;U29,1,0)+IF(W29&gt;Y29,1,0)+IF(AA29&gt;AC29,1,0)+IF(AI29&gt;AK29,1,0)+IF(AE29&gt;AG29,1,0)</f>
        <v>3</v>
      </c>
      <c r="AM29" s="30">
        <f>IF(C29&lt;E29,1,0)+IF(G29&lt;I29,1,0)+IF(K29&lt;M29,1,0)+IF(O29&lt;Q29,1,0)+IF(S29&lt;U29,1,0)+IF(W29&lt;Y29,1,0)+IF(AA29&lt;AC29,1,0)+IF(AI29&lt;AK29,1,0)+IF(AE29&lt;AG29,1,0)</f>
        <v>2</v>
      </c>
      <c r="AN29" s="30">
        <f>IF(AND(ISNUMBER(C29),C29=E29),1,0)+IF(AND(ISNUMBER(G29),G29=I29),1,0)+IF(AND(ISNUMBER(K29),K29=M29),1,)+IF(AND(ISNUMBER(O29),O29=Q29),1,0)+IF(AND(ISNUMBER(S29),S29=U29),1,0)+IF(AND(ISNUMBER(W29),W29=Y29),1,0)+IF(AND(ISNUMBER(AA29),AA29=AC29),1,0)+IF(AND(ISNUMBER(AI29),AI29=AK29),1,0)+IF(AND(ISNUMBER(AE29),AE29=AG29),1,0)</f>
        <v>0</v>
      </c>
      <c r="AO29" s="31">
        <f aca="true" t="shared" si="50" ref="AO29:AO34">AL29*2</f>
        <v>6</v>
      </c>
      <c r="AP29" s="32">
        <f aca="true" t="shared" si="51" ref="AP29:AP34">AM29*0</f>
        <v>0</v>
      </c>
      <c r="AQ29" s="33">
        <f aca="true" t="shared" si="52" ref="AQ29:AQ34">AN29*1</f>
        <v>0</v>
      </c>
      <c r="AR29" s="34">
        <f aca="true" t="shared" si="53" ref="AR29:AR34">AO29+AP29+AQ29</f>
        <v>6</v>
      </c>
      <c r="AS29" s="30">
        <f>IF(ISNUMBER(G29),G29,0)+IF(ISNUMBER(K29),K29,0)+IF(ISNUMBER(O29),O29,0)+IF(ISNUMBER(AA29),AA29,0)+IF(ISNUMBER(AI29),AI29,0)+IF(ISNUMBER(S29),S29,0)+IF(ISNUMBER(W29),W29,0)+IF(ISNUMBER(C29),C29,0)+IF(ISNUMBER(AE29),AE29,0)</f>
        <v>13</v>
      </c>
      <c r="AT29" s="30">
        <f>IF(ISNUMBER(I29),I29,0)+IF(ISNUMBER(M29),M29,0)+IF(ISNUMBER(Q29),Q29,0)+IF(ISNUMBER(AC29),AC29,0)+IF(ISNUMBER(AK29),AK29,0)+IF(ISNUMBER(U29),U29,0)+IF(ISNUMBER(Y29),Y29,0)+IF(ISNUMBER(E29),E29,0)+IF(ISNUMBER(AG29),AG29,0)</f>
        <v>17</v>
      </c>
      <c r="AU29" s="30">
        <f>AS29-AT29</f>
        <v>-4</v>
      </c>
      <c r="AV29" s="1"/>
      <c r="AW29" s="1"/>
      <c r="AX29" s="42">
        <f>BC29+COUNTIF(BC$28:BC28,BC29)</f>
        <v>2</v>
      </c>
      <c r="AY29" s="44" t="str">
        <f aca="true" t="shared" si="54" ref="AY29:AY34">+A29</f>
        <v>セントラルパークス</v>
      </c>
      <c r="AZ29" s="42">
        <f aca="true" t="shared" si="55" ref="AZ29:AZ34">+AR29</f>
        <v>6</v>
      </c>
      <c r="BA29" s="42">
        <f aca="true" t="shared" si="56" ref="BA29:BA34">+AL29</f>
        <v>3</v>
      </c>
      <c r="BB29" s="42">
        <f aca="true" t="shared" si="57" ref="BB29:BB34">+AL29+AM29+AN29</f>
        <v>5</v>
      </c>
      <c r="BC29" s="42">
        <f aca="true" t="shared" si="58" ref="BC29:BC34">RANK(AZ29,AZ$29:AZ$34)</f>
        <v>2</v>
      </c>
      <c r="BD29" s="43">
        <f aca="true" t="shared" si="59" ref="BD29:BD34">VLOOKUP(ROW(BB1),$AX$29:$BD$34,6,FALSE)</f>
        <v>1</v>
      </c>
      <c r="BE29" s="45" t="str">
        <f aca="true" t="shared" si="60" ref="BE29:BE34">VLOOKUP(ROW(BB1),$AX$29:$BC$34,2,FALSE)</f>
        <v>小金原ビクトリー</v>
      </c>
      <c r="BF29" s="45">
        <f aca="true" t="shared" si="61" ref="BF29:BF34">VLOOKUP(ROW(BB1),$AX$29:$BC$34,3,FALSE)</f>
        <v>8</v>
      </c>
      <c r="BG29" s="45">
        <f aca="true" t="shared" si="62" ref="BG29:BG34">VLOOKUP(ROW(BB1),$AX$29:$BC$34,4,FALSE)</f>
        <v>4</v>
      </c>
      <c r="BH29" s="45">
        <f aca="true" t="shared" si="63" ref="BH29:BH34">VLOOKUP(ROW(BB1),$AX$29:$BC$34,5,FALSE)</f>
        <v>5</v>
      </c>
      <c r="BI29" s="55"/>
      <c r="BK29" s="42">
        <f>BN29+COUNTIF(BN$28:BN28,BN29)</f>
        <v>1</v>
      </c>
      <c r="BL29" s="44" t="str">
        <f aca="true" t="shared" si="64" ref="BL29:BL34">+AY29</f>
        <v>セントラルパークス</v>
      </c>
      <c r="BM29" s="42">
        <f aca="true" t="shared" si="65" ref="BM29:BM34">COUNT(B29:AK29)/2</f>
        <v>5</v>
      </c>
      <c r="BN29" s="42">
        <f aca="true" t="shared" si="66" ref="BN29:BN34">RANK(BM29,BM$29:BM$34)</f>
        <v>1</v>
      </c>
      <c r="BO29" s="43">
        <f aca="true" t="shared" si="67" ref="BO29:BO34">VLOOKUP(ROW(BO1),$BK$29:$BN$34,4,FALSE)</f>
        <v>1</v>
      </c>
      <c r="BP29" s="45" t="str">
        <f aca="true" t="shared" si="68" ref="BP29:BP34">VLOOKUP(ROW(BP1),$BK$29:$BN$34,2,FALSE)</f>
        <v>セントラルパークス</v>
      </c>
    </row>
    <row r="30" spans="1:68" ht="19.5" customHeight="1">
      <c r="A30" s="79" t="s">
        <v>80</v>
      </c>
      <c r="B30" s="36"/>
      <c r="C30" s="37">
        <v>4</v>
      </c>
      <c r="D30" s="37"/>
      <c r="E30" s="38">
        <v>3</v>
      </c>
      <c r="F30" s="36"/>
      <c r="G30" s="37"/>
      <c r="H30" s="37"/>
      <c r="I30" s="38"/>
      <c r="J30" s="36"/>
      <c r="K30" s="37">
        <f>IF(I31="","",I31)</f>
        <v>0</v>
      </c>
      <c r="L30" s="37"/>
      <c r="M30" s="38">
        <f>IF(I31="","",G31)</f>
        <v>7</v>
      </c>
      <c r="N30" s="36"/>
      <c r="O30" s="37">
        <f>IF(I32="","",I32)</f>
        <v>7</v>
      </c>
      <c r="P30" s="37"/>
      <c r="Q30" s="38">
        <f>IF(G32="","",G32)</f>
        <v>1</v>
      </c>
      <c r="R30" s="36"/>
      <c r="S30" s="37">
        <f>IF(I33="","",I33)</f>
        <v>1</v>
      </c>
      <c r="T30" s="37"/>
      <c r="U30" s="38">
        <f>IF(G33="","",G33)</f>
        <v>0</v>
      </c>
      <c r="V30" s="36"/>
      <c r="W30" s="37">
        <f>IF(I34="","",I34)</f>
      </c>
      <c r="X30" s="37"/>
      <c r="Y30" s="38">
        <f>IF(G34="","",G34)</f>
      </c>
      <c r="Z30" s="36"/>
      <c r="AA30" s="37">
        <f>IF(I35="","",I35)</f>
      </c>
      <c r="AB30" s="37"/>
      <c r="AC30" s="38">
        <f>IF(G35="","",G35)</f>
      </c>
      <c r="AD30" s="36"/>
      <c r="AE30" s="37">
        <f>IF(I36="","",I36)</f>
      </c>
      <c r="AF30" s="37"/>
      <c r="AG30" s="38">
        <f>IF(G36="","",G36)</f>
      </c>
      <c r="AH30" s="36"/>
      <c r="AI30" s="37"/>
      <c r="AJ30" s="37"/>
      <c r="AK30" s="38"/>
      <c r="AL30" s="30">
        <f aca="true" t="shared" si="69" ref="AL30:AL36">IF(C30&gt;E30,1,0)+IF(G30&gt;I30,1,0)+IF(K30&gt;M30,1,0)+IF(O30&gt;Q30,1,0)+IF(S30&gt;U30,1,0)+IF(W30&gt;Y30,1,0)+IF(AA30&gt;AC30,1,0)+IF(AI30&gt;AK30,1,0)+IF(AE30&gt;AG30,1,0)</f>
        <v>3</v>
      </c>
      <c r="AM30" s="30">
        <f aca="true" t="shared" si="70" ref="AM30:AM36">IF(C30&lt;E30,1,0)+IF(G30&lt;I30,1,0)+IF(K30&lt;M30,1,0)+IF(O30&lt;Q30,1,0)+IF(S30&lt;U30,1,0)+IF(W30&lt;Y30,1,0)+IF(AA30&lt;AC30,1,0)+IF(AI30&lt;AK30,1,0)+IF(AE30&lt;AG30,1,0)</f>
        <v>1</v>
      </c>
      <c r="AN30" s="30">
        <f aca="true" t="shared" si="71" ref="AN30:AN36">IF(AND(ISNUMBER(C30),C30=E30),1,0)+IF(AND(ISNUMBER(G30),G30=I30),1,0)+IF(AND(ISNUMBER(K30),K30=M30),1,)+IF(AND(ISNUMBER(O30),O30=Q30),1,0)+IF(AND(ISNUMBER(S30),S30=U30),1,0)+IF(AND(ISNUMBER(W30),W30=Y30),1,0)+IF(AND(ISNUMBER(AA30),AA30=AC30),1,0)+IF(AND(ISNUMBER(AI30),AI30=AK30),1,0)+IF(AND(ISNUMBER(AE30),AE30=AG30),1,0)</f>
        <v>0</v>
      </c>
      <c r="AO30" s="31">
        <f t="shared" si="50"/>
        <v>6</v>
      </c>
      <c r="AP30" s="32">
        <f t="shared" si="51"/>
        <v>0</v>
      </c>
      <c r="AQ30" s="33">
        <f t="shared" si="52"/>
        <v>0</v>
      </c>
      <c r="AR30" s="34">
        <f t="shared" si="53"/>
        <v>6</v>
      </c>
      <c r="AS30" s="30">
        <f aca="true" t="shared" si="72" ref="AS30:AS36">IF(ISNUMBER(G30),G30,0)+IF(ISNUMBER(K30),K30,0)+IF(ISNUMBER(O30),O30,0)+IF(ISNUMBER(AA30),AA30,0)+IF(ISNUMBER(AI30),AI30,0)+IF(ISNUMBER(S30),S30,0)+IF(ISNUMBER(W30),W30,0)+IF(ISNUMBER(C30),C30,0)+IF(ISNUMBER(AE30),AE30,0)</f>
        <v>12</v>
      </c>
      <c r="AT30" s="30">
        <f aca="true" t="shared" si="73" ref="AT30:AT36">IF(ISNUMBER(I30),I30,0)+IF(ISNUMBER(M30),M30,0)+IF(ISNUMBER(Q30),Q30,0)+IF(ISNUMBER(AC30),AC30,0)+IF(ISNUMBER(AK30),AK30,0)+IF(ISNUMBER(U30),U30,0)+IF(ISNUMBER(Y30),Y30,0)+IF(ISNUMBER(E30),E30,0)+IF(ISNUMBER(AG30),AG30,0)</f>
        <v>11</v>
      </c>
      <c r="AU30" s="30">
        <f aca="true" t="shared" si="74" ref="AU30:AU36">AS30-AT30</f>
        <v>1</v>
      </c>
      <c r="AV30" s="1"/>
      <c r="AW30" s="1"/>
      <c r="AX30" s="42">
        <f>BC30+COUNTIF(BC$28:BC29,BC30)</f>
        <v>3</v>
      </c>
      <c r="AY30" s="44" t="str">
        <f t="shared" si="54"/>
        <v>大橋みどりファイターズ</v>
      </c>
      <c r="AZ30" s="42">
        <f t="shared" si="55"/>
        <v>6</v>
      </c>
      <c r="BA30" s="42">
        <f t="shared" si="56"/>
        <v>3</v>
      </c>
      <c r="BB30" s="42">
        <f t="shared" si="57"/>
        <v>4</v>
      </c>
      <c r="BC30" s="42">
        <f t="shared" si="58"/>
        <v>2</v>
      </c>
      <c r="BD30" s="43">
        <f t="shared" si="59"/>
        <v>2</v>
      </c>
      <c r="BE30" s="45" t="str">
        <f t="shared" si="60"/>
        <v>セントラルパークス</v>
      </c>
      <c r="BF30" s="45">
        <f t="shared" si="61"/>
        <v>6</v>
      </c>
      <c r="BG30" s="45">
        <f t="shared" si="62"/>
        <v>3</v>
      </c>
      <c r="BH30" s="45">
        <f t="shared" si="63"/>
        <v>5</v>
      </c>
      <c r="BI30" s="55"/>
      <c r="BK30" s="42">
        <f>BN30+COUNTIF(BN$28:BN29,BN30)</f>
        <v>5</v>
      </c>
      <c r="BL30" s="44" t="str">
        <f t="shared" si="64"/>
        <v>大橋みどりファイターズ</v>
      </c>
      <c r="BM30" s="42">
        <f t="shared" si="65"/>
        <v>4</v>
      </c>
      <c r="BN30" s="42">
        <f t="shared" si="66"/>
        <v>5</v>
      </c>
      <c r="BO30" s="43">
        <f t="shared" si="67"/>
        <v>1</v>
      </c>
      <c r="BP30" s="45" t="str">
        <f t="shared" si="68"/>
        <v>双葉</v>
      </c>
    </row>
    <row r="31" spans="1:68" ht="19.5" customHeight="1">
      <c r="A31" s="79" t="s">
        <v>90</v>
      </c>
      <c r="B31" s="36"/>
      <c r="C31" s="37">
        <v>2</v>
      </c>
      <c r="D31" s="37"/>
      <c r="E31" s="38">
        <v>3</v>
      </c>
      <c r="F31" s="36"/>
      <c r="G31" s="37">
        <v>7</v>
      </c>
      <c r="H31" s="37"/>
      <c r="I31" s="38">
        <v>0</v>
      </c>
      <c r="J31" s="36"/>
      <c r="K31" s="37"/>
      <c r="L31" s="37"/>
      <c r="M31" s="38"/>
      <c r="N31" s="36"/>
      <c r="O31" s="37">
        <f>IF(M32="","",M32)</f>
        <v>3</v>
      </c>
      <c r="P31" s="37"/>
      <c r="Q31" s="38">
        <f>IF(K32="","",K32)</f>
        <v>4</v>
      </c>
      <c r="R31" s="36"/>
      <c r="S31" s="37">
        <f>IF(M33="","",M33)</f>
        <v>8</v>
      </c>
      <c r="T31" s="37"/>
      <c r="U31" s="38">
        <f>IF(K33="","",K33)</f>
        <v>3</v>
      </c>
      <c r="V31" s="36"/>
      <c r="W31" s="37">
        <f>IF(M34="","",M34)</f>
        <v>14</v>
      </c>
      <c r="X31" s="37"/>
      <c r="Y31" s="38">
        <f>IF(K34="","",K34)</f>
        <v>1</v>
      </c>
      <c r="Z31" s="36"/>
      <c r="AA31" s="37">
        <f>IF(M35="","",M35)</f>
      </c>
      <c r="AB31" s="37"/>
      <c r="AC31" s="38">
        <f>IF(K35="","",K35)</f>
      </c>
      <c r="AD31" s="36"/>
      <c r="AE31" s="37">
        <f>IF(M36="","",M36)</f>
      </c>
      <c r="AF31" s="37"/>
      <c r="AG31" s="38">
        <f>IF(K36="","",K36)</f>
      </c>
      <c r="AH31" s="36"/>
      <c r="AI31" s="37"/>
      <c r="AJ31" s="37"/>
      <c r="AK31" s="38"/>
      <c r="AL31" s="30">
        <f t="shared" si="69"/>
        <v>3</v>
      </c>
      <c r="AM31" s="30">
        <f t="shared" si="70"/>
        <v>2</v>
      </c>
      <c r="AN31" s="30">
        <f t="shared" si="71"/>
        <v>0</v>
      </c>
      <c r="AO31" s="31">
        <f t="shared" si="50"/>
        <v>6</v>
      </c>
      <c r="AP31" s="32">
        <f t="shared" si="51"/>
        <v>0</v>
      </c>
      <c r="AQ31" s="33">
        <f t="shared" si="52"/>
        <v>0</v>
      </c>
      <c r="AR31" s="34">
        <f t="shared" si="53"/>
        <v>6</v>
      </c>
      <c r="AS31" s="30">
        <f t="shared" si="72"/>
        <v>34</v>
      </c>
      <c r="AT31" s="30">
        <f t="shared" si="73"/>
        <v>11</v>
      </c>
      <c r="AU31" s="30">
        <f t="shared" si="74"/>
        <v>23</v>
      </c>
      <c r="AV31" s="1"/>
      <c r="AW31" s="1"/>
      <c r="AX31" s="42">
        <f>BC31+COUNTIF(BC$28:BC30,BC31)</f>
        <v>4</v>
      </c>
      <c r="AY31" s="44" t="str">
        <f t="shared" si="54"/>
        <v>双葉</v>
      </c>
      <c r="AZ31" s="42">
        <f t="shared" si="55"/>
        <v>6</v>
      </c>
      <c r="BA31" s="42">
        <f t="shared" si="56"/>
        <v>3</v>
      </c>
      <c r="BB31" s="42">
        <f t="shared" si="57"/>
        <v>5</v>
      </c>
      <c r="BC31" s="42">
        <f t="shared" si="58"/>
        <v>2</v>
      </c>
      <c r="BD31" s="43">
        <f t="shared" si="59"/>
        <v>2</v>
      </c>
      <c r="BE31" s="45" t="str">
        <f t="shared" si="60"/>
        <v>大橋みどりファイターズ</v>
      </c>
      <c r="BF31" s="45">
        <f t="shared" si="61"/>
        <v>6</v>
      </c>
      <c r="BG31" s="45">
        <f t="shared" si="62"/>
        <v>3</v>
      </c>
      <c r="BH31" s="45">
        <f t="shared" si="63"/>
        <v>4</v>
      </c>
      <c r="BI31" s="55"/>
      <c r="BK31" s="42">
        <f>BN31+COUNTIF(BN$28:BN30,BN31)</f>
        <v>2</v>
      </c>
      <c r="BL31" s="44" t="str">
        <f t="shared" si="64"/>
        <v>双葉</v>
      </c>
      <c r="BM31" s="42">
        <f t="shared" si="65"/>
        <v>5</v>
      </c>
      <c r="BN31" s="42">
        <f t="shared" si="66"/>
        <v>1</v>
      </c>
      <c r="BO31" s="43">
        <f t="shared" si="67"/>
        <v>1</v>
      </c>
      <c r="BP31" s="45" t="str">
        <f t="shared" si="68"/>
        <v>小金原ビクトリー</v>
      </c>
    </row>
    <row r="32" spans="1:68" ht="19.5" customHeight="1">
      <c r="A32" s="79" t="s">
        <v>63</v>
      </c>
      <c r="B32" s="36"/>
      <c r="C32" s="37">
        <v>8</v>
      </c>
      <c r="D32" s="37"/>
      <c r="E32" s="38">
        <v>1</v>
      </c>
      <c r="F32" s="36"/>
      <c r="G32" s="37">
        <v>1</v>
      </c>
      <c r="H32" s="37"/>
      <c r="I32" s="38">
        <v>7</v>
      </c>
      <c r="J32" s="36"/>
      <c r="K32" s="37">
        <v>4</v>
      </c>
      <c r="L32" s="37"/>
      <c r="M32" s="38">
        <v>3</v>
      </c>
      <c r="N32" s="36"/>
      <c r="O32" s="37"/>
      <c r="P32" s="37"/>
      <c r="Q32" s="38"/>
      <c r="R32" s="36"/>
      <c r="S32" s="37">
        <f>IF(Q33="","",Q33)</f>
        <v>22</v>
      </c>
      <c r="T32" s="37"/>
      <c r="U32" s="38">
        <f>IF(O33="","",O33)</f>
        <v>2</v>
      </c>
      <c r="V32" s="36"/>
      <c r="W32" s="37">
        <f>IF(Q34="","",Q34)</f>
        <v>5</v>
      </c>
      <c r="X32" s="37"/>
      <c r="Y32" s="38">
        <f>IF(O34="","",O34)</f>
        <v>4</v>
      </c>
      <c r="Z32" s="36"/>
      <c r="AA32" s="37">
        <f>IF(Q35="","",Q35)</f>
      </c>
      <c r="AB32" s="37"/>
      <c r="AC32" s="38">
        <f>IF(O35="","",O35)</f>
      </c>
      <c r="AD32" s="36"/>
      <c r="AE32" s="37">
        <f>IF(Q36="","",Q36)</f>
      </c>
      <c r="AF32" s="37"/>
      <c r="AG32" s="38">
        <f>IF(O36="","",O36)</f>
      </c>
      <c r="AH32" s="36"/>
      <c r="AI32" s="37"/>
      <c r="AJ32" s="37"/>
      <c r="AK32" s="38"/>
      <c r="AL32" s="30">
        <f t="shared" si="69"/>
        <v>4</v>
      </c>
      <c r="AM32" s="30">
        <f t="shared" si="70"/>
        <v>1</v>
      </c>
      <c r="AN32" s="30">
        <f t="shared" si="71"/>
        <v>0</v>
      </c>
      <c r="AO32" s="31">
        <f t="shared" si="50"/>
        <v>8</v>
      </c>
      <c r="AP32" s="32">
        <f t="shared" si="51"/>
        <v>0</v>
      </c>
      <c r="AQ32" s="33">
        <f t="shared" si="52"/>
        <v>0</v>
      </c>
      <c r="AR32" s="34">
        <f t="shared" si="53"/>
        <v>8</v>
      </c>
      <c r="AS32" s="30">
        <f t="shared" si="72"/>
        <v>40</v>
      </c>
      <c r="AT32" s="30">
        <f t="shared" si="73"/>
        <v>17</v>
      </c>
      <c r="AU32" s="30">
        <f t="shared" si="74"/>
        <v>23</v>
      </c>
      <c r="AV32" s="1"/>
      <c r="AW32" s="1"/>
      <c r="AX32" s="42">
        <f>BC32+COUNTIF(BC$28:BC31,BC32)</f>
        <v>1</v>
      </c>
      <c r="AY32" s="44" t="str">
        <f t="shared" si="54"/>
        <v>小金原ビクトリー</v>
      </c>
      <c r="AZ32" s="42">
        <f t="shared" si="55"/>
        <v>8</v>
      </c>
      <c r="BA32" s="42">
        <f t="shared" si="56"/>
        <v>4</v>
      </c>
      <c r="BB32" s="42">
        <f t="shared" si="57"/>
        <v>5</v>
      </c>
      <c r="BC32" s="42">
        <f t="shared" si="58"/>
        <v>1</v>
      </c>
      <c r="BD32" s="43">
        <f t="shared" si="59"/>
        <v>2</v>
      </c>
      <c r="BE32" s="45" t="str">
        <f t="shared" si="60"/>
        <v>双葉</v>
      </c>
      <c r="BF32" s="45">
        <f t="shared" si="61"/>
        <v>6</v>
      </c>
      <c r="BG32" s="45">
        <f t="shared" si="62"/>
        <v>3</v>
      </c>
      <c r="BH32" s="45">
        <f t="shared" si="63"/>
        <v>5</v>
      </c>
      <c r="BI32" s="55"/>
      <c r="BK32" s="42">
        <f>BN32+COUNTIF(BN$28:BN31,BN32)</f>
        <v>3</v>
      </c>
      <c r="BL32" s="44" t="str">
        <f t="shared" si="64"/>
        <v>小金原ビクトリー</v>
      </c>
      <c r="BM32" s="42">
        <f t="shared" si="65"/>
        <v>5</v>
      </c>
      <c r="BN32" s="42">
        <f t="shared" si="66"/>
        <v>1</v>
      </c>
      <c r="BO32" s="43">
        <f t="shared" si="67"/>
        <v>1</v>
      </c>
      <c r="BP32" s="45" t="str">
        <f t="shared" si="68"/>
        <v>トライスター</v>
      </c>
    </row>
    <row r="33" spans="1:68" ht="19.5" customHeight="1">
      <c r="A33" s="79" t="s">
        <v>72</v>
      </c>
      <c r="B33" s="37"/>
      <c r="C33" s="37">
        <v>0</v>
      </c>
      <c r="D33" s="37"/>
      <c r="E33" s="38">
        <v>1</v>
      </c>
      <c r="F33" s="36"/>
      <c r="G33" s="37">
        <v>0</v>
      </c>
      <c r="H33" s="37"/>
      <c r="I33" s="38">
        <v>1</v>
      </c>
      <c r="J33" s="36"/>
      <c r="K33" s="37">
        <v>3</v>
      </c>
      <c r="L33" s="37"/>
      <c r="M33" s="38">
        <v>8</v>
      </c>
      <c r="N33" s="36"/>
      <c r="O33" s="37">
        <v>2</v>
      </c>
      <c r="P33" s="37"/>
      <c r="Q33" s="38">
        <v>22</v>
      </c>
      <c r="R33" s="36"/>
      <c r="S33" s="37"/>
      <c r="T33" s="37"/>
      <c r="U33" s="38"/>
      <c r="V33" s="36"/>
      <c r="W33" s="37">
        <f>IF(U34="","",U34)</f>
        <v>5</v>
      </c>
      <c r="X33" s="37"/>
      <c r="Y33" s="38">
        <f>IF(S34="","",S34)</f>
        <v>15</v>
      </c>
      <c r="Z33" s="36"/>
      <c r="AA33" s="37">
        <f>IF(U35="","",U35)</f>
      </c>
      <c r="AB33" s="37"/>
      <c r="AC33" s="38">
        <f>IF(S35="","",S35)</f>
      </c>
      <c r="AD33" s="36"/>
      <c r="AE33" s="37">
        <f>IF(U36="","",U36)</f>
      </c>
      <c r="AF33" s="37"/>
      <c r="AG33" s="38">
        <f>IF(S36="","",S36)</f>
      </c>
      <c r="AH33" s="36"/>
      <c r="AI33" s="37"/>
      <c r="AJ33" s="37"/>
      <c r="AK33" s="38"/>
      <c r="AL33" s="30">
        <f t="shared" si="69"/>
        <v>0</v>
      </c>
      <c r="AM33" s="30">
        <f t="shared" si="70"/>
        <v>5</v>
      </c>
      <c r="AN33" s="30">
        <f t="shared" si="71"/>
        <v>0</v>
      </c>
      <c r="AO33" s="31">
        <f t="shared" si="50"/>
        <v>0</v>
      </c>
      <c r="AP33" s="32">
        <f t="shared" si="51"/>
        <v>0</v>
      </c>
      <c r="AQ33" s="33">
        <f t="shared" si="52"/>
        <v>0</v>
      </c>
      <c r="AR33" s="34">
        <f t="shared" si="53"/>
        <v>0</v>
      </c>
      <c r="AS33" s="30">
        <f t="shared" si="72"/>
        <v>10</v>
      </c>
      <c r="AT33" s="30">
        <f t="shared" si="73"/>
        <v>47</v>
      </c>
      <c r="AU33" s="30">
        <f t="shared" si="74"/>
        <v>-37</v>
      </c>
      <c r="AV33" s="1"/>
      <c r="AW33" s="1"/>
      <c r="AX33" s="42">
        <f>BC33+COUNTIF(BC$28:BC32,BC33)</f>
        <v>6</v>
      </c>
      <c r="AY33" s="44" t="str">
        <f t="shared" si="54"/>
        <v>トライスター</v>
      </c>
      <c r="AZ33" s="42">
        <f t="shared" si="55"/>
        <v>0</v>
      </c>
      <c r="BA33" s="42">
        <f t="shared" si="56"/>
        <v>0</v>
      </c>
      <c r="BB33" s="42">
        <f t="shared" si="57"/>
        <v>5</v>
      </c>
      <c r="BC33" s="42">
        <f t="shared" si="58"/>
        <v>6</v>
      </c>
      <c r="BD33" s="43">
        <f t="shared" si="59"/>
        <v>5</v>
      </c>
      <c r="BE33" s="45" t="str">
        <f t="shared" si="60"/>
        <v>柏南・新柏ツィンズ</v>
      </c>
      <c r="BF33" s="45">
        <f t="shared" si="61"/>
        <v>2</v>
      </c>
      <c r="BG33" s="45">
        <f t="shared" si="62"/>
        <v>1</v>
      </c>
      <c r="BH33" s="45">
        <f t="shared" si="63"/>
        <v>4</v>
      </c>
      <c r="BI33" s="55"/>
      <c r="BK33" s="42">
        <f>BN33+COUNTIF(BN$28:BN32,BN33)</f>
        <v>4</v>
      </c>
      <c r="BL33" s="44" t="str">
        <f t="shared" si="64"/>
        <v>トライスター</v>
      </c>
      <c r="BM33" s="42">
        <f t="shared" si="65"/>
        <v>5</v>
      </c>
      <c r="BN33" s="42">
        <f t="shared" si="66"/>
        <v>1</v>
      </c>
      <c r="BO33" s="43">
        <f t="shared" si="67"/>
        <v>5</v>
      </c>
      <c r="BP33" s="45" t="str">
        <f t="shared" si="68"/>
        <v>大橋みどりファイターズ</v>
      </c>
    </row>
    <row r="34" spans="1:68" ht="19.5" customHeight="1">
      <c r="A34" s="79" t="s">
        <v>95</v>
      </c>
      <c r="B34" s="36"/>
      <c r="C34" s="37">
        <v>3</v>
      </c>
      <c r="D34" s="37"/>
      <c r="E34" s="38">
        <v>5</v>
      </c>
      <c r="F34" s="36"/>
      <c r="G34" s="37"/>
      <c r="H34" s="37"/>
      <c r="I34" s="38"/>
      <c r="J34" s="36"/>
      <c r="K34" s="37">
        <v>1</v>
      </c>
      <c r="L34" s="37"/>
      <c r="M34" s="38">
        <v>14</v>
      </c>
      <c r="N34" s="36"/>
      <c r="O34" s="37">
        <v>4</v>
      </c>
      <c r="P34" s="37"/>
      <c r="Q34" s="38">
        <v>5</v>
      </c>
      <c r="R34" s="36"/>
      <c r="S34" s="37">
        <v>15</v>
      </c>
      <c r="T34" s="37"/>
      <c r="U34" s="38">
        <v>5</v>
      </c>
      <c r="V34" s="36"/>
      <c r="W34" s="37"/>
      <c r="X34" s="37"/>
      <c r="Y34" s="38"/>
      <c r="Z34" s="36"/>
      <c r="AA34" s="37">
        <f>IF(Y35="","",Y35)</f>
      </c>
      <c r="AB34" s="37"/>
      <c r="AC34" s="38">
        <f>IF(W35="","",W35)</f>
      </c>
      <c r="AD34" s="36"/>
      <c r="AE34" s="37">
        <f>IF(Y36="","",Y36)</f>
      </c>
      <c r="AF34" s="37"/>
      <c r="AG34" s="38">
        <f>IF(W36="","",W36)</f>
      </c>
      <c r="AH34" s="36"/>
      <c r="AI34" s="37"/>
      <c r="AJ34" s="37"/>
      <c r="AK34" s="38"/>
      <c r="AL34" s="30">
        <f t="shared" si="69"/>
        <v>1</v>
      </c>
      <c r="AM34" s="30">
        <f t="shared" si="70"/>
        <v>3</v>
      </c>
      <c r="AN34" s="30">
        <f t="shared" si="71"/>
        <v>0</v>
      </c>
      <c r="AO34" s="31">
        <f t="shared" si="50"/>
        <v>2</v>
      </c>
      <c r="AP34" s="32">
        <f t="shared" si="51"/>
        <v>0</v>
      </c>
      <c r="AQ34" s="33">
        <f t="shared" si="52"/>
        <v>0</v>
      </c>
      <c r="AR34" s="34">
        <f t="shared" si="53"/>
        <v>2</v>
      </c>
      <c r="AS34" s="30">
        <f t="shared" si="72"/>
        <v>23</v>
      </c>
      <c r="AT34" s="30">
        <f t="shared" si="73"/>
        <v>29</v>
      </c>
      <c r="AU34" s="30">
        <f t="shared" si="74"/>
        <v>-6</v>
      </c>
      <c r="AV34" s="1"/>
      <c r="AW34" s="1"/>
      <c r="AX34" s="42">
        <f>BC34+COUNTIF(BC$28:BC33,BC34)</f>
        <v>5</v>
      </c>
      <c r="AY34" s="44" t="str">
        <f t="shared" si="54"/>
        <v>柏南・新柏ツィンズ</v>
      </c>
      <c r="AZ34" s="42">
        <f t="shared" si="55"/>
        <v>2</v>
      </c>
      <c r="BA34" s="42">
        <f t="shared" si="56"/>
        <v>1</v>
      </c>
      <c r="BB34" s="42">
        <f t="shared" si="57"/>
        <v>4</v>
      </c>
      <c r="BC34" s="42">
        <f t="shared" si="58"/>
        <v>5</v>
      </c>
      <c r="BD34" s="43">
        <f t="shared" si="59"/>
        <v>6</v>
      </c>
      <c r="BE34" s="45" t="str">
        <f t="shared" si="60"/>
        <v>トライスター</v>
      </c>
      <c r="BF34" s="45">
        <f t="shared" si="61"/>
        <v>0</v>
      </c>
      <c r="BG34" s="45">
        <f t="shared" si="62"/>
        <v>0</v>
      </c>
      <c r="BH34" s="45">
        <f t="shared" si="63"/>
        <v>5</v>
      </c>
      <c r="BI34" s="55"/>
      <c r="BK34" s="42">
        <f>BN34+COUNTIF(BN$28:BN33,BN34)</f>
        <v>6</v>
      </c>
      <c r="BL34" s="44" t="str">
        <f t="shared" si="64"/>
        <v>柏南・新柏ツィンズ</v>
      </c>
      <c r="BM34" s="42">
        <f t="shared" si="65"/>
        <v>4</v>
      </c>
      <c r="BN34" s="42">
        <f t="shared" si="66"/>
        <v>5</v>
      </c>
      <c r="BO34" s="43">
        <f t="shared" si="67"/>
        <v>5</v>
      </c>
      <c r="BP34" s="45" t="str">
        <f t="shared" si="68"/>
        <v>柏南・新柏ツィンズ</v>
      </c>
    </row>
    <row r="35" spans="1:68" ht="19.5" customHeight="1">
      <c r="A35" s="79"/>
      <c r="B35" s="36"/>
      <c r="C35" s="37"/>
      <c r="D35" s="37"/>
      <c r="E35" s="38"/>
      <c r="F35" s="36"/>
      <c r="G35" s="37"/>
      <c r="H35" s="37"/>
      <c r="I35" s="38"/>
      <c r="J35" s="36"/>
      <c r="K35" s="37"/>
      <c r="L35" s="37"/>
      <c r="M35" s="38"/>
      <c r="N35" s="36"/>
      <c r="O35" s="37"/>
      <c r="P35" s="37"/>
      <c r="Q35" s="38"/>
      <c r="R35" s="36"/>
      <c r="S35" s="37"/>
      <c r="T35" s="37"/>
      <c r="U35" s="38"/>
      <c r="V35" s="36"/>
      <c r="W35" s="37"/>
      <c r="X35" s="37"/>
      <c r="Y35" s="38"/>
      <c r="Z35" s="36"/>
      <c r="AA35" s="37"/>
      <c r="AB35" s="37"/>
      <c r="AC35" s="38"/>
      <c r="AD35" s="36"/>
      <c r="AE35" s="37">
        <f>IF(AC36="","",AC36)</f>
      </c>
      <c r="AF35" s="37"/>
      <c r="AG35" s="38">
        <f>IF(AA36="","",AA36)</f>
      </c>
      <c r="AH35" s="36"/>
      <c r="AI35" s="37"/>
      <c r="AJ35" s="37"/>
      <c r="AK35" s="38"/>
      <c r="AL35" s="30">
        <f t="shared" si="69"/>
        <v>0</v>
      </c>
      <c r="AM35" s="30">
        <f t="shared" si="70"/>
        <v>0</v>
      </c>
      <c r="AN35" s="30">
        <f t="shared" si="71"/>
        <v>0</v>
      </c>
      <c r="AO35" s="31">
        <f>AL35*2</f>
        <v>0</v>
      </c>
      <c r="AP35" s="32">
        <f>AM35*0</f>
        <v>0</v>
      </c>
      <c r="AQ35" s="33">
        <f>AN35*1</f>
        <v>0</v>
      </c>
      <c r="AR35" s="34">
        <f>AO35+AP35+AQ35</f>
        <v>0</v>
      </c>
      <c r="AS35" s="30">
        <f t="shared" si="72"/>
        <v>0</v>
      </c>
      <c r="AT35" s="30">
        <f t="shared" si="73"/>
        <v>0</v>
      </c>
      <c r="AU35" s="30">
        <f t="shared" si="74"/>
        <v>0</v>
      </c>
      <c r="AV35" s="1"/>
      <c r="AW35" s="1"/>
      <c r="AX35" s="42"/>
      <c r="AY35" s="44"/>
      <c r="AZ35" s="42"/>
      <c r="BA35" s="42"/>
      <c r="BB35" s="42"/>
      <c r="BC35" s="42"/>
      <c r="BD35" s="43"/>
      <c r="BE35" s="45"/>
      <c r="BF35" s="45"/>
      <c r="BG35" s="45"/>
      <c r="BH35" s="45"/>
      <c r="BI35" s="55"/>
      <c r="BK35" s="42"/>
      <c r="BL35" s="44"/>
      <c r="BM35" s="42"/>
      <c r="BN35" s="42"/>
      <c r="BO35" s="43"/>
      <c r="BP35" s="45"/>
    </row>
    <row r="36" spans="1:68" ht="19.5" customHeight="1">
      <c r="A36" s="79"/>
      <c r="B36" s="36"/>
      <c r="C36" s="37"/>
      <c r="D36" s="37"/>
      <c r="E36" s="38"/>
      <c r="F36" s="36"/>
      <c r="G36" s="37"/>
      <c r="H36" s="37"/>
      <c r="I36" s="38"/>
      <c r="J36" s="36"/>
      <c r="K36" s="37"/>
      <c r="L36" s="37"/>
      <c r="M36" s="38"/>
      <c r="N36" s="36"/>
      <c r="O36" s="37"/>
      <c r="P36" s="37"/>
      <c r="Q36" s="38"/>
      <c r="R36" s="36"/>
      <c r="S36" s="37"/>
      <c r="T36" s="37"/>
      <c r="U36" s="38"/>
      <c r="V36" s="36"/>
      <c r="W36" s="37"/>
      <c r="X36" s="37"/>
      <c r="Y36" s="38"/>
      <c r="Z36" s="36"/>
      <c r="AA36" s="37"/>
      <c r="AB36" s="37"/>
      <c r="AC36" s="38"/>
      <c r="AD36" s="37"/>
      <c r="AE36" s="37"/>
      <c r="AF36" s="37"/>
      <c r="AG36" s="37"/>
      <c r="AH36" s="36"/>
      <c r="AI36" s="37"/>
      <c r="AJ36" s="37"/>
      <c r="AK36" s="38"/>
      <c r="AL36" s="30">
        <f t="shared" si="69"/>
        <v>0</v>
      </c>
      <c r="AM36" s="30">
        <f t="shared" si="70"/>
        <v>0</v>
      </c>
      <c r="AN36" s="30">
        <f t="shared" si="71"/>
        <v>0</v>
      </c>
      <c r="AO36" s="31">
        <f>AL36*2</f>
        <v>0</v>
      </c>
      <c r="AP36" s="32">
        <f>AM36*0</f>
        <v>0</v>
      </c>
      <c r="AQ36" s="33">
        <f>AN36*1</f>
        <v>0</v>
      </c>
      <c r="AR36" s="34">
        <f>AO36+AP36+AQ36</f>
        <v>0</v>
      </c>
      <c r="AS36" s="30">
        <f t="shared" si="72"/>
        <v>0</v>
      </c>
      <c r="AT36" s="30">
        <f t="shared" si="73"/>
        <v>0</v>
      </c>
      <c r="AU36" s="30">
        <f t="shared" si="74"/>
        <v>0</v>
      </c>
      <c r="AV36" s="1"/>
      <c r="AW36" s="1"/>
      <c r="AX36" s="42"/>
      <c r="AY36" s="44"/>
      <c r="AZ36" s="42"/>
      <c r="BA36" s="42"/>
      <c r="BB36" s="42"/>
      <c r="BC36" s="42"/>
      <c r="BD36" s="43"/>
      <c r="BE36" s="45"/>
      <c r="BF36" s="45"/>
      <c r="BG36" s="45"/>
      <c r="BH36" s="45"/>
      <c r="BI36" s="55"/>
      <c r="BK36" s="42"/>
      <c r="BL36" s="44"/>
      <c r="BM36" s="42"/>
      <c r="BN36" s="42"/>
      <c r="BO36" s="43"/>
      <c r="BP36" s="45"/>
    </row>
    <row r="37" spans="1:66" ht="19.5" customHeight="1">
      <c r="A37" s="7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>
        <f>SUM(AL29:AL36)</f>
        <v>14</v>
      </c>
      <c r="AM37" s="6">
        <f>SUM(AM29:AM36)</f>
        <v>14</v>
      </c>
      <c r="AN37" s="6">
        <f>SUM(AN29:AN36)</f>
        <v>0</v>
      </c>
      <c r="AO37" s="6"/>
      <c r="AP37" s="6"/>
      <c r="AQ37" s="6"/>
      <c r="AR37" s="1"/>
      <c r="AS37" s="6">
        <f>SUM(AS29:AS36)</f>
        <v>132</v>
      </c>
      <c r="AT37" s="6">
        <f>SUM(AT29:AT36)</f>
        <v>132</v>
      </c>
      <c r="AU37" s="6">
        <f>SUM(AU29:AU36)</f>
        <v>0</v>
      </c>
      <c r="BM37" s="53">
        <f>SUM(BM29:BM36)/2</f>
        <v>14</v>
      </c>
      <c r="BN37" s="3">
        <f>6*5/2</f>
        <v>15</v>
      </c>
    </row>
    <row r="38" spans="1:51" ht="19.5" customHeight="1">
      <c r="A38" s="4" t="s">
        <v>27</v>
      </c>
      <c r="B38" s="73" t="s">
        <v>53</v>
      </c>
      <c r="C38" s="51"/>
      <c r="D38" s="51"/>
      <c r="E38" s="51"/>
      <c r="F38" s="51"/>
      <c r="G38" s="171" t="str">
        <f>"１日"&amp;ROUND((BN48-BM48)/'戦績'!N42,1)&amp;"試合"</f>
        <v>１日0試合</v>
      </c>
      <c r="H38" s="171"/>
      <c r="I38" s="171"/>
      <c r="J38" s="171"/>
      <c r="K38" s="163" t="s">
        <v>23</v>
      </c>
      <c r="L38" s="163"/>
      <c r="M38" s="163"/>
      <c r="N38" s="163"/>
      <c r="O38" s="165">
        <f>IF(C63&gt;C62,+BE40,"")</f>
      </c>
      <c r="P38" s="165"/>
      <c r="Q38" s="165"/>
      <c r="R38" s="165"/>
      <c r="S38" s="165"/>
      <c r="T38" s="52"/>
      <c r="U38" s="163" t="s">
        <v>24</v>
      </c>
      <c r="V38" s="163"/>
      <c r="W38" s="163"/>
      <c r="X38" s="163"/>
      <c r="Y38" s="165">
        <f>IF(C63&gt;C62,+BE41,"")</f>
      </c>
      <c r="Z38" s="165"/>
      <c r="AA38" s="165"/>
      <c r="AB38" s="165"/>
      <c r="AC38" s="165"/>
      <c r="AD38" s="165"/>
      <c r="AE38" s="165"/>
      <c r="AF38" s="165"/>
      <c r="AG38" s="165"/>
      <c r="AH38" s="165"/>
      <c r="AI38" s="1"/>
      <c r="AJ38" s="54" t="s">
        <v>26</v>
      </c>
      <c r="AK38" s="1"/>
      <c r="AL38" s="1"/>
      <c r="AM38" s="1"/>
      <c r="AN38" s="169">
        <f>+BM48/(MAX(AX40:AX47)*(MAX(AX40:AX47)-1)/2)</f>
        <v>1</v>
      </c>
      <c r="AO38" s="169"/>
      <c r="AP38" s="60">
        <f>IF(AL37=AM37,"","計算間違い")</f>
      </c>
      <c r="AQ38" s="1"/>
      <c r="AR38" s="1"/>
      <c r="AS38" s="1"/>
      <c r="AT38" s="60">
        <f>IF(AN37/2=TRUNC(AN37/2,0),"","計算間違い")</f>
      </c>
      <c r="AU38" s="1"/>
      <c r="AV38" s="1"/>
      <c r="AW38" s="1"/>
      <c r="AX38" s="1"/>
      <c r="AY38" s="1"/>
    </row>
    <row r="39" spans="1:65" ht="19.5" customHeight="1">
      <c r="A39" s="5"/>
      <c r="B39" s="164" t="str">
        <f>+A40</f>
        <v>常盤平ボーイズ</v>
      </c>
      <c r="C39" s="164"/>
      <c r="D39" s="164"/>
      <c r="E39" s="164"/>
      <c r="F39" s="164" t="str">
        <f>+A41</f>
        <v>八柱サンジュニアーズ</v>
      </c>
      <c r="G39" s="164"/>
      <c r="H39" s="164"/>
      <c r="I39" s="164"/>
      <c r="J39" s="164" t="str">
        <f>+A42</f>
        <v>リトルベアーズ</v>
      </c>
      <c r="K39" s="164"/>
      <c r="L39" s="164"/>
      <c r="M39" s="164"/>
      <c r="N39" s="164" t="str">
        <f>+A43</f>
        <v>長崎ＦＬＢ</v>
      </c>
      <c r="O39" s="164"/>
      <c r="P39" s="164"/>
      <c r="Q39" s="164"/>
      <c r="R39" s="164" t="str">
        <f>+A44</f>
        <v>スーパーフェニックス</v>
      </c>
      <c r="S39" s="164"/>
      <c r="T39" s="164"/>
      <c r="U39" s="164"/>
      <c r="V39" s="164" t="str">
        <f>+A45</f>
        <v>布佐スパイダース</v>
      </c>
      <c r="W39" s="164"/>
      <c r="X39" s="164"/>
      <c r="Y39" s="164"/>
      <c r="Z39" s="164"/>
      <c r="AA39" s="164"/>
      <c r="AB39" s="164"/>
      <c r="AC39" s="164"/>
      <c r="AD39" s="164"/>
      <c r="AE39" s="164"/>
      <c r="AF39" s="164"/>
      <c r="AG39" s="164"/>
      <c r="AH39" s="164"/>
      <c r="AI39" s="164"/>
      <c r="AJ39" s="164"/>
      <c r="AK39" s="164"/>
      <c r="AL39" s="25" t="s">
        <v>4</v>
      </c>
      <c r="AM39" s="25" t="s">
        <v>5</v>
      </c>
      <c r="AN39" s="25" t="s">
        <v>6</v>
      </c>
      <c r="AO39" s="26" t="s">
        <v>11</v>
      </c>
      <c r="AP39" s="27" t="s">
        <v>12</v>
      </c>
      <c r="AQ39" s="28" t="s">
        <v>13</v>
      </c>
      <c r="AR39" s="29" t="s">
        <v>7</v>
      </c>
      <c r="AS39" s="25" t="s">
        <v>8</v>
      </c>
      <c r="AT39" s="25" t="s">
        <v>9</v>
      </c>
      <c r="AU39" s="25" t="s">
        <v>10</v>
      </c>
      <c r="AV39" s="1"/>
      <c r="AW39" s="1"/>
      <c r="AY39" s="3" t="s">
        <v>17</v>
      </c>
      <c r="AZ39" s="3" t="s">
        <v>18</v>
      </c>
      <c r="BL39" s="3" t="s">
        <v>17</v>
      </c>
      <c r="BM39" s="3" t="s">
        <v>19</v>
      </c>
    </row>
    <row r="40" spans="1:68" ht="19.5" customHeight="1">
      <c r="A40" s="79" t="s">
        <v>96</v>
      </c>
      <c r="B40" s="36"/>
      <c r="C40" s="37"/>
      <c r="D40" s="37"/>
      <c r="E40" s="38"/>
      <c r="F40" s="36"/>
      <c r="G40" s="37">
        <f>IF(E41="","",E41)</f>
        <v>16</v>
      </c>
      <c r="H40" s="37"/>
      <c r="I40" s="38">
        <f>IF(C41="","",C41)</f>
        <v>2</v>
      </c>
      <c r="J40" s="36"/>
      <c r="K40" s="37">
        <f>IF(E42="","",E42)</f>
        <v>6</v>
      </c>
      <c r="L40" s="37"/>
      <c r="M40" s="38">
        <f>IF(C42="","",C42)</f>
        <v>3</v>
      </c>
      <c r="N40" s="36"/>
      <c r="O40" s="37">
        <f>IF(E43="","",E43)</f>
        <v>12</v>
      </c>
      <c r="P40" s="37"/>
      <c r="Q40" s="38">
        <f>IF(C43="","",C43)</f>
        <v>1</v>
      </c>
      <c r="R40" s="36"/>
      <c r="S40" s="37">
        <f>IF(E44="","",E44)</f>
        <v>7</v>
      </c>
      <c r="T40" s="37"/>
      <c r="U40" s="38">
        <f>IF(C44="","",C44)</f>
        <v>4</v>
      </c>
      <c r="V40" s="36"/>
      <c r="W40" s="37">
        <f>IF(E45="","",E45)</f>
        <v>14</v>
      </c>
      <c r="X40" s="37"/>
      <c r="Y40" s="38">
        <f>IF(C45="","",C45)</f>
        <v>0</v>
      </c>
      <c r="Z40" s="36"/>
      <c r="AA40" s="37">
        <f>IF(E46="","",E46)</f>
      </c>
      <c r="AB40" s="37"/>
      <c r="AC40" s="38">
        <f>IF(C46="","",C46)</f>
      </c>
      <c r="AD40" s="36"/>
      <c r="AE40" s="37">
        <f>IF(E47="","",E47)</f>
      </c>
      <c r="AF40" s="37"/>
      <c r="AG40" s="38">
        <f>IF(C47="","",C47)</f>
      </c>
      <c r="AH40" s="36"/>
      <c r="AI40" s="37"/>
      <c r="AJ40" s="37"/>
      <c r="AK40" s="38"/>
      <c r="AL40" s="30">
        <f>IF(C40&gt;E40,1,0)+IF(G40&gt;I40,1,0)+IF(K40&gt;M40,1,0)+IF(O40&gt;Q40,1,0)+IF(S40&gt;U40,1,0)+IF(W40&gt;Y40,1,0)+IF(AA40&gt;AC40,1,0)+IF(AI40&gt;AK40,1,0)+IF(AE40&gt;AG40,1,0)</f>
        <v>5</v>
      </c>
      <c r="AM40" s="30">
        <f>IF(C40&lt;E40,1,0)+IF(G40&lt;I40,1,0)+IF(K40&lt;M40,1,0)+IF(O40&lt;Q40,1,0)+IF(S40&lt;U40,1,0)+IF(W40&lt;Y40,1,0)+IF(AA40&lt;AC40,1,0)+IF(AI40&lt;AK40,1,0)+IF(AE40&lt;AG40,1,0)</f>
        <v>0</v>
      </c>
      <c r="AN40" s="30">
        <f>IF(AND(ISNUMBER(C40),C40=E40),1,0)+IF(AND(ISNUMBER(G40),G40=I40),1,0)+IF(AND(ISNUMBER(K40),K40=M40),1,)+IF(AND(ISNUMBER(O40),O40=Q40),1,0)+IF(AND(ISNUMBER(S40),S40=U40),1,0)+IF(AND(ISNUMBER(W40),W40=Y40),1,0)+IF(AND(ISNUMBER(AA40),AA40=AC40),1,0)+IF(AND(ISNUMBER(AI40),AI40=AK40),1,0)+IF(AND(ISNUMBER(AE40),AE40=AG40),1,0)</f>
        <v>0</v>
      </c>
      <c r="AO40" s="31">
        <f>AL40*2</f>
        <v>10</v>
      </c>
      <c r="AP40" s="32">
        <f>AM40*0</f>
        <v>0</v>
      </c>
      <c r="AQ40" s="33">
        <f>AN40*1</f>
        <v>0</v>
      </c>
      <c r="AR40" s="34">
        <f>AO40+AP40+AQ40</f>
        <v>10</v>
      </c>
      <c r="AS40" s="30">
        <f>IF(ISNUMBER(G40),G40,0)+IF(ISNUMBER(K40),K40,0)+IF(ISNUMBER(O40),O40,0)+IF(ISNUMBER(AA40),AA40,0)+IF(ISNUMBER(AI40),AI40,0)+IF(ISNUMBER(S40),S40,0)+IF(ISNUMBER(W40),W40,0)+IF(ISNUMBER(C40),C40,0)+IF(ISNUMBER(AE40),AE40,0)</f>
        <v>55</v>
      </c>
      <c r="AT40" s="30">
        <f>IF(ISNUMBER(I40),I40,0)+IF(ISNUMBER(M40),M40,0)+IF(ISNUMBER(Q40),Q40,0)+IF(ISNUMBER(AC40),AC40,0)+IF(ISNUMBER(AK40),AK40,0)+IF(ISNUMBER(U40),U40,0)+IF(ISNUMBER(Y40),Y40,0)+IF(ISNUMBER(E40),E40,0)+IF(ISNUMBER(AG40),AG40,0)</f>
        <v>10</v>
      </c>
      <c r="AU40" s="30">
        <f>AS40-AT40</f>
        <v>45</v>
      </c>
      <c r="AV40" s="1"/>
      <c r="AW40" s="1"/>
      <c r="AX40" s="42">
        <f>BC40+COUNTIF(BC$39:BC39,BC40)</f>
        <v>1</v>
      </c>
      <c r="AY40" s="44" t="str">
        <f aca="true" t="shared" si="75" ref="AY40:AY45">+A40</f>
        <v>常盤平ボーイズ</v>
      </c>
      <c r="AZ40" s="42">
        <f aca="true" t="shared" si="76" ref="AZ40:AZ45">+AR40</f>
        <v>10</v>
      </c>
      <c r="BA40" s="42">
        <f aca="true" t="shared" si="77" ref="BA40:BA45">+AL40</f>
        <v>5</v>
      </c>
      <c r="BB40" s="42">
        <f aca="true" t="shared" si="78" ref="BB40:BB45">+AL40+AM40+AN40</f>
        <v>5</v>
      </c>
      <c r="BC40" s="42">
        <f>RANK(AZ40,AZ$40:AZ$45)</f>
        <v>1</v>
      </c>
      <c r="BD40" s="43">
        <f>VLOOKUP(ROW(BB1),$AX$40:$BC$45,6,FALSE)</f>
        <v>1</v>
      </c>
      <c r="BE40" s="45" t="str">
        <f>VLOOKUP(ROW(BB1),$AX$40:$BC$45,2,FALSE)</f>
        <v>常盤平ボーイズ</v>
      </c>
      <c r="BF40" s="45">
        <f>VLOOKUP(ROW(BB1),$AX$40:$BC$45,3,FALSE)</f>
        <v>10</v>
      </c>
      <c r="BG40" s="45">
        <f>VLOOKUP(ROW(BB1),$AX$40:$BC$45,4,FALSE)</f>
        <v>5</v>
      </c>
      <c r="BH40" s="45">
        <f>VLOOKUP(ROW(BB1),$AX$40:$BC$45,5,FALSE)</f>
        <v>5</v>
      </c>
      <c r="BI40" s="55"/>
      <c r="BK40" s="42">
        <f>BN40+COUNTIF(BN$39:BN39,BN40)</f>
        <v>1</v>
      </c>
      <c r="BL40" s="44" t="str">
        <f aca="true" t="shared" si="79" ref="BL40:BL45">+AY40</f>
        <v>常盤平ボーイズ</v>
      </c>
      <c r="BM40" s="42">
        <f aca="true" t="shared" si="80" ref="BM40:BM45">COUNT(B40:AK40)/2</f>
        <v>5</v>
      </c>
      <c r="BN40" s="42">
        <f aca="true" t="shared" si="81" ref="BN40:BN45">RANK(BM40,BM$40:BM$45)</f>
        <v>1</v>
      </c>
      <c r="BO40" s="43">
        <f aca="true" t="shared" si="82" ref="BO40:BO45">VLOOKUP(ROW(BO1),$BK$40:$BN$45,4,FALSE)</f>
        <v>1</v>
      </c>
      <c r="BP40" s="45" t="str">
        <f aca="true" t="shared" si="83" ref="BP40:BP45">VLOOKUP(ROW(BP1),$BK$40:$BN$45,2,FALSE)</f>
        <v>常盤平ボーイズ</v>
      </c>
    </row>
    <row r="41" spans="1:68" ht="19.5" customHeight="1">
      <c r="A41" s="79" t="s">
        <v>73</v>
      </c>
      <c r="B41" s="37"/>
      <c r="C41" s="37">
        <v>2</v>
      </c>
      <c r="D41" s="37"/>
      <c r="E41" s="38">
        <v>16</v>
      </c>
      <c r="F41" s="36"/>
      <c r="G41" s="37"/>
      <c r="H41" s="37"/>
      <c r="I41" s="38"/>
      <c r="J41" s="36"/>
      <c r="K41" s="37">
        <f>IF(I42="","",I42)</f>
        <v>6</v>
      </c>
      <c r="L41" s="37"/>
      <c r="M41" s="38">
        <f>IF(G42="","",G42)</f>
        <v>10</v>
      </c>
      <c r="N41" s="36"/>
      <c r="O41" s="37">
        <f>IF(I43="","",I43)</f>
        <v>1</v>
      </c>
      <c r="P41" s="37"/>
      <c r="Q41" s="38">
        <f>IF(G43="","",G43)</f>
        <v>8</v>
      </c>
      <c r="R41" s="36"/>
      <c r="S41" s="37">
        <f>IF(I44="","",I44)</f>
        <v>7</v>
      </c>
      <c r="T41" s="37"/>
      <c r="U41" s="38">
        <f>IF(G44="","",G44)</f>
        <v>8</v>
      </c>
      <c r="V41" s="36"/>
      <c r="W41" s="37">
        <f>IF(I45="","",I45)</f>
        <v>3</v>
      </c>
      <c r="X41" s="37"/>
      <c r="Y41" s="38">
        <f>IF(G45="","",G45)</f>
        <v>11</v>
      </c>
      <c r="Z41" s="36"/>
      <c r="AA41" s="37">
        <f>IF(I46="","",I46)</f>
      </c>
      <c r="AB41" s="37"/>
      <c r="AC41" s="38">
        <f>IF(G46="","",G46)</f>
      </c>
      <c r="AD41" s="36"/>
      <c r="AE41" s="37">
        <f>IF(I47="","",I47)</f>
      </c>
      <c r="AF41" s="37"/>
      <c r="AG41" s="38">
        <f>IF(G47="","",G47)</f>
      </c>
      <c r="AH41" s="36"/>
      <c r="AI41" s="37"/>
      <c r="AJ41" s="37"/>
      <c r="AK41" s="38"/>
      <c r="AL41" s="30">
        <f aca="true" t="shared" si="84" ref="AL41:AL47">IF(C41&gt;E41,1,0)+IF(G41&gt;I41,1,0)+IF(K41&gt;M41,1,0)+IF(O41&gt;Q41,1,0)+IF(S41&gt;U41,1,0)+IF(W41&gt;Y41,1,0)+IF(AA41&gt;AC41,1,0)+IF(AI41&gt;AK41,1,0)+IF(AE41&gt;AG41,1,0)</f>
        <v>0</v>
      </c>
      <c r="AM41" s="30">
        <f aca="true" t="shared" si="85" ref="AM41:AM47">IF(C41&lt;E41,1,0)+IF(G41&lt;I41,1,0)+IF(K41&lt;M41,1,0)+IF(O41&lt;Q41,1,0)+IF(S41&lt;U41,1,0)+IF(W41&lt;Y41,1,0)+IF(AA41&lt;AC41,1,0)+IF(AI41&lt;AK41,1,0)+IF(AE41&lt;AG41,1,0)</f>
        <v>5</v>
      </c>
      <c r="AN41" s="30">
        <f aca="true" t="shared" si="86" ref="AN41:AN47">IF(AND(ISNUMBER(C41),C41=E41),1,0)+IF(AND(ISNUMBER(G41),G41=I41),1,0)+IF(AND(ISNUMBER(K41),K41=M41),1,)+IF(AND(ISNUMBER(O41),O41=Q41),1,0)+IF(AND(ISNUMBER(S41),S41=U41),1,0)+IF(AND(ISNUMBER(W41),W41=Y41),1,0)+IF(AND(ISNUMBER(AA41),AA41=AC41),1,0)+IF(AND(ISNUMBER(AI41),AI41=AK41),1,0)+IF(AND(ISNUMBER(AE41),AE41=AG41),1,0)</f>
        <v>0</v>
      </c>
      <c r="AO41" s="31">
        <f aca="true" t="shared" si="87" ref="AO41:AO47">AL41*2</f>
        <v>0</v>
      </c>
      <c r="AP41" s="32">
        <f aca="true" t="shared" si="88" ref="AP41:AP47">AM41*0</f>
        <v>0</v>
      </c>
      <c r="AQ41" s="33">
        <f aca="true" t="shared" si="89" ref="AQ41:AQ47">AN41*1</f>
        <v>0</v>
      </c>
      <c r="AR41" s="34">
        <f aca="true" t="shared" si="90" ref="AR41:AR47">AO41+AP41+AQ41</f>
        <v>0</v>
      </c>
      <c r="AS41" s="30">
        <f aca="true" t="shared" si="91" ref="AS41:AS47">IF(ISNUMBER(G41),G41,0)+IF(ISNUMBER(K41),K41,0)+IF(ISNUMBER(O41),O41,0)+IF(ISNUMBER(AA41),AA41,0)+IF(ISNUMBER(AI41),AI41,0)+IF(ISNUMBER(S41),S41,0)+IF(ISNUMBER(W41),W41,0)+IF(ISNUMBER(C41),C41,0)+IF(ISNUMBER(AE41),AE41,0)</f>
        <v>19</v>
      </c>
      <c r="AT41" s="30">
        <f aca="true" t="shared" si="92" ref="AT41:AT47">IF(ISNUMBER(I41),I41,0)+IF(ISNUMBER(M41),M41,0)+IF(ISNUMBER(Q41),Q41,0)+IF(ISNUMBER(AC41),AC41,0)+IF(ISNUMBER(AK41),AK41,0)+IF(ISNUMBER(U41),U41,0)+IF(ISNUMBER(Y41),Y41,0)+IF(ISNUMBER(E41),E41,0)+IF(ISNUMBER(AG41),AG41,0)</f>
        <v>53</v>
      </c>
      <c r="AU41" s="30">
        <f aca="true" t="shared" si="93" ref="AU41:AU47">AS41-AT41</f>
        <v>-34</v>
      </c>
      <c r="AV41" s="1"/>
      <c r="AW41" s="1"/>
      <c r="AX41" s="42">
        <f>BC41+COUNTIF(BC$39:BC40,BC41)</f>
        <v>6</v>
      </c>
      <c r="AY41" s="44" t="str">
        <f t="shared" si="75"/>
        <v>八柱サンジュニアーズ</v>
      </c>
      <c r="AZ41" s="42">
        <f t="shared" si="76"/>
        <v>0</v>
      </c>
      <c r="BA41" s="42">
        <f t="shared" si="77"/>
        <v>0</v>
      </c>
      <c r="BB41" s="42">
        <f t="shared" si="78"/>
        <v>5</v>
      </c>
      <c r="BC41" s="42">
        <f>RANK(AZ41,AZ$40:AZ$46)</f>
        <v>6</v>
      </c>
      <c r="BD41" s="43">
        <f>VLOOKUP(ROW(BB2),$AX$40:$BC$46,6,FALSE)</f>
        <v>2</v>
      </c>
      <c r="BE41" s="45" t="str">
        <f>VLOOKUP(ROW(BB2),$AX$40:$BC$46,2,FALSE)</f>
        <v>長崎ＦＬＢ</v>
      </c>
      <c r="BF41" s="45">
        <f>VLOOKUP(ROW(BB2),$AX$40:$BC$46,3,FALSE)</f>
        <v>6</v>
      </c>
      <c r="BG41" s="45">
        <f>VLOOKUP(ROW(BB2),$AX$40:$BC$46,4,FALSE)</f>
        <v>3</v>
      </c>
      <c r="BH41" s="45">
        <f>VLOOKUP(ROW(BB2),$AX$40:$BC$46,5,FALSE)</f>
        <v>5</v>
      </c>
      <c r="BI41" s="55"/>
      <c r="BK41" s="42">
        <f>BN41+COUNTIF(BN$39:BN40,BN41)</f>
        <v>2</v>
      </c>
      <c r="BL41" s="44" t="str">
        <f t="shared" si="79"/>
        <v>八柱サンジュニアーズ</v>
      </c>
      <c r="BM41" s="42">
        <f t="shared" si="80"/>
        <v>5</v>
      </c>
      <c r="BN41" s="42">
        <f t="shared" si="81"/>
        <v>1</v>
      </c>
      <c r="BO41" s="43">
        <f t="shared" si="82"/>
        <v>1</v>
      </c>
      <c r="BP41" s="45" t="str">
        <f t="shared" si="83"/>
        <v>八柱サンジュニアーズ</v>
      </c>
    </row>
    <row r="42" spans="1:68" ht="19.5" customHeight="1">
      <c r="A42" s="79" t="s">
        <v>69</v>
      </c>
      <c r="B42" s="36"/>
      <c r="C42" s="37">
        <v>3</v>
      </c>
      <c r="D42" s="37"/>
      <c r="E42" s="38">
        <v>6</v>
      </c>
      <c r="F42" s="36"/>
      <c r="G42" s="37">
        <v>10</v>
      </c>
      <c r="H42" s="37"/>
      <c r="I42" s="38">
        <v>6</v>
      </c>
      <c r="J42" s="36"/>
      <c r="K42" s="37"/>
      <c r="L42" s="37"/>
      <c r="M42" s="38"/>
      <c r="N42" s="36"/>
      <c r="O42" s="37">
        <f>IF(M43="","",M43)</f>
        <v>0</v>
      </c>
      <c r="P42" s="37"/>
      <c r="Q42" s="38">
        <f>IF(K43="","",K43)</f>
        <v>17</v>
      </c>
      <c r="R42" s="36"/>
      <c r="S42" s="37">
        <f>IF(M44="","",M44)</f>
        <v>10</v>
      </c>
      <c r="T42" s="37"/>
      <c r="U42" s="38">
        <f>IF(K44="","",K44)</f>
        <v>12</v>
      </c>
      <c r="V42" s="36"/>
      <c r="W42" s="37">
        <f>IF(M45="","",M45)</f>
        <v>7</v>
      </c>
      <c r="X42" s="37"/>
      <c r="Y42" s="38">
        <f>IF(K45="","",K45)</f>
        <v>9</v>
      </c>
      <c r="Z42" s="36"/>
      <c r="AA42" s="37">
        <f>IF(M46="","",M46)</f>
      </c>
      <c r="AB42" s="37"/>
      <c r="AC42" s="38">
        <f>IF(K46="","",K46)</f>
      </c>
      <c r="AD42" s="36"/>
      <c r="AE42" s="37">
        <f>IF(M47="","",M47)</f>
      </c>
      <c r="AF42" s="37"/>
      <c r="AG42" s="38">
        <f>IF(K47="","",K47)</f>
      </c>
      <c r="AH42" s="36"/>
      <c r="AI42" s="37"/>
      <c r="AJ42" s="37"/>
      <c r="AK42" s="38"/>
      <c r="AL42" s="30">
        <f t="shared" si="84"/>
        <v>1</v>
      </c>
      <c r="AM42" s="30">
        <f t="shared" si="85"/>
        <v>4</v>
      </c>
      <c r="AN42" s="30">
        <f t="shared" si="86"/>
        <v>0</v>
      </c>
      <c r="AO42" s="31">
        <f t="shared" si="87"/>
        <v>2</v>
      </c>
      <c r="AP42" s="32">
        <f t="shared" si="88"/>
        <v>0</v>
      </c>
      <c r="AQ42" s="33">
        <f t="shared" si="89"/>
        <v>0</v>
      </c>
      <c r="AR42" s="34">
        <f t="shared" si="90"/>
        <v>2</v>
      </c>
      <c r="AS42" s="30">
        <f t="shared" si="91"/>
        <v>30</v>
      </c>
      <c r="AT42" s="30">
        <f t="shared" si="92"/>
        <v>50</v>
      </c>
      <c r="AU42" s="30">
        <f t="shared" si="93"/>
        <v>-20</v>
      </c>
      <c r="AV42" s="1"/>
      <c r="AW42" s="1"/>
      <c r="AX42" s="42">
        <f>BC42+COUNTIF(BC$39:BC41,BC42)</f>
        <v>5</v>
      </c>
      <c r="AY42" s="44" t="str">
        <f t="shared" si="75"/>
        <v>リトルベアーズ</v>
      </c>
      <c r="AZ42" s="42">
        <f t="shared" si="76"/>
        <v>2</v>
      </c>
      <c r="BA42" s="42">
        <f t="shared" si="77"/>
        <v>1</v>
      </c>
      <c r="BB42" s="42">
        <f t="shared" si="78"/>
        <v>5</v>
      </c>
      <c r="BC42" s="42">
        <f>RANK(AZ42,AZ$40:AZ$46)</f>
        <v>5</v>
      </c>
      <c r="BD42" s="43">
        <f>VLOOKUP(ROW(BB3),$AX$40:$BC$46,6,FALSE)</f>
        <v>2</v>
      </c>
      <c r="BE42" s="45" t="str">
        <f>VLOOKUP(ROW(BB3),$AX$40:$BC$46,2,FALSE)</f>
        <v>スーパーフェニックス</v>
      </c>
      <c r="BF42" s="45">
        <f>VLOOKUP(ROW(BB3),$AX$40:$BC$46,3,FALSE)</f>
        <v>6</v>
      </c>
      <c r="BG42" s="45">
        <f>VLOOKUP(ROW(BB3),$AX$40:$BC$46,4,FALSE)</f>
        <v>3</v>
      </c>
      <c r="BH42" s="45">
        <f>VLOOKUP(ROW(BB3),$AX$40:$BC$46,5,FALSE)</f>
        <v>5</v>
      </c>
      <c r="BI42" s="55"/>
      <c r="BK42" s="42">
        <f>BN42+COUNTIF(BN$39:BN41,BN42)</f>
        <v>3</v>
      </c>
      <c r="BL42" s="44" t="str">
        <f t="shared" si="79"/>
        <v>リトルベアーズ</v>
      </c>
      <c r="BM42" s="42">
        <f t="shared" si="80"/>
        <v>5</v>
      </c>
      <c r="BN42" s="42">
        <f t="shared" si="81"/>
        <v>1</v>
      </c>
      <c r="BO42" s="43">
        <f t="shared" si="82"/>
        <v>1</v>
      </c>
      <c r="BP42" s="45" t="str">
        <f t="shared" si="83"/>
        <v>リトルベアーズ</v>
      </c>
    </row>
    <row r="43" spans="1:68" ht="19.5" customHeight="1">
      <c r="A43" s="79" t="s">
        <v>71</v>
      </c>
      <c r="B43" s="36"/>
      <c r="C43" s="37">
        <v>1</v>
      </c>
      <c r="D43" s="37"/>
      <c r="E43" s="38">
        <v>12</v>
      </c>
      <c r="F43" s="36"/>
      <c r="G43" s="37">
        <v>8</v>
      </c>
      <c r="H43" s="37"/>
      <c r="I43" s="38">
        <v>1</v>
      </c>
      <c r="J43" s="36"/>
      <c r="K43" s="37">
        <v>17</v>
      </c>
      <c r="L43" s="37"/>
      <c r="M43" s="38">
        <v>0</v>
      </c>
      <c r="N43" s="36"/>
      <c r="O43" s="37"/>
      <c r="P43" s="37"/>
      <c r="Q43" s="38"/>
      <c r="R43" s="36"/>
      <c r="S43" s="37">
        <f>IF(Q44="","",Q44)</f>
        <v>7</v>
      </c>
      <c r="T43" s="37"/>
      <c r="U43" s="38">
        <f>IF(O44="","",O44)</f>
        <v>6</v>
      </c>
      <c r="V43" s="36"/>
      <c r="W43" s="37">
        <f>IF(Q45="","",Q45)</f>
        <v>3</v>
      </c>
      <c r="X43" s="37"/>
      <c r="Y43" s="38">
        <f>IF(O45="","",O45)</f>
        <v>9</v>
      </c>
      <c r="Z43" s="36"/>
      <c r="AA43" s="37">
        <f>IF(Q46="","",Q46)</f>
      </c>
      <c r="AB43" s="37"/>
      <c r="AC43" s="38">
        <f>IF(O46="","",O46)</f>
      </c>
      <c r="AD43" s="36"/>
      <c r="AE43" s="37">
        <f>IF(Q47="","",Q47)</f>
      </c>
      <c r="AF43" s="37"/>
      <c r="AG43" s="38">
        <f>IF(O47="","",O47)</f>
      </c>
      <c r="AH43" s="36"/>
      <c r="AI43" s="37"/>
      <c r="AJ43" s="37"/>
      <c r="AK43" s="38"/>
      <c r="AL43" s="30">
        <f t="shared" si="84"/>
        <v>3</v>
      </c>
      <c r="AM43" s="30">
        <f t="shared" si="85"/>
        <v>2</v>
      </c>
      <c r="AN43" s="30">
        <f t="shared" si="86"/>
        <v>0</v>
      </c>
      <c r="AO43" s="31">
        <f t="shared" si="87"/>
        <v>6</v>
      </c>
      <c r="AP43" s="32">
        <f t="shared" si="88"/>
        <v>0</v>
      </c>
      <c r="AQ43" s="33">
        <f t="shared" si="89"/>
        <v>0</v>
      </c>
      <c r="AR43" s="34">
        <f t="shared" si="90"/>
        <v>6</v>
      </c>
      <c r="AS43" s="30">
        <f t="shared" si="91"/>
        <v>36</v>
      </c>
      <c r="AT43" s="30">
        <f t="shared" si="92"/>
        <v>28</v>
      </c>
      <c r="AU43" s="30">
        <f t="shared" si="93"/>
        <v>8</v>
      </c>
      <c r="AV43" s="1"/>
      <c r="AW43" s="1"/>
      <c r="AX43" s="42">
        <f>BC43+COUNTIF(BC$39:BC42,BC43)</f>
        <v>2</v>
      </c>
      <c r="AY43" s="44" t="str">
        <f t="shared" si="75"/>
        <v>長崎ＦＬＢ</v>
      </c>
      <c r="AZ43" s="42">
        <f t="shared" si="76"/>
        <v>6</v>
      </c>
      <c r="BA43" s="42">
        <f t="shared" si="77"/>
        <v>3</v>
      </c>
      <c r="BB43" s="42">
        <f t="shared" si="78"/>
        <v>5</v>
      </c>
      <c r="BC43" s="42">
        <f>RANK(AZ43,AZ$40:AZ$46)</f>
        <v>2</v>
      </c>
      <c r="BD43" s="43">
        <f>VLOOKUP(ROW(BB4),$AX$40:$BC$46,6,FALSE)</f>
        <v>2</v>
      </c>
      <c r="BE43" s="45" t="str">
        <f>VLOOKUP(ROW(BB4),$AX$40:$BC$46,2,FALSE)</f>
        <v>布佐スパイダース</v>
      </c>
      <c r="BF43" s="45">
        <f>VLOOKUP(ROW(BB4),$AX$40:$BC$46,3,FALSE)</f>
        <v>6</v>
      </c>
      <c r="BG43" s="45">
        <f>VLOOKUP(ROW(BB4),$AX$40:$BC$46,4,FALSE)</f>
        <v>3</v>
      </c>
      <c r="BH43" s="45">
        <f>VLOOKUP(ROW(BB4),$AX$40:$BC$46,5,FALSE)</f>
        <v>5</v>
      </c>
      <c r="BI43" s="55"/>
      <c r="BK43" s="42">
        <f>BN43+COUNTIF(BN$39:BN42,BN43)</f>
        <v>4</v>
      </c>
      <c r="BL43" s="44" t="str">
        <f t="shared" si="79"/>
        <v>長崎ＦＬＢ</v>
      </c>
      <c r="BM43" s="42">
        <f t="shared" si="80"/>
        <v>5</v>
      </c>
      <c r="BN43" s="42">
        <f t="shared" si="81"/>
        <v>1</v>
      </c>
      <c r="BO43" s="43">
        <f t="shared" si="82"/>
        <v>1</v>
      </c>
      <c r="BP43" s="45" t="str">
        <f t="shared" si="83"/>
        <v>長崎ＦＬＢ</v>
      </c>
    </row>
    <row r="44" spans="1:68" ht="19.5" customHeight="1">
      <c r="A44" s="79" t="s">
        <v>97</v>
      </c>
      <c r="B44" s="36"/>
      <c r="C44" s="37">
        <v>4</v>
      </c>
      <c r="D44" s="37"/>
      <c r="E44" s="38">
        <v>7</v>
      </c>
      <c r="F44" s="36"/>
      <c r="G44" s="37">
        <v>8</v>
      </c>
      <c r="H44" s="37"/>
      <c r="I44" s="38">
        <v>7</v>
      </c>
      <c r="J44" s="36"/>
      <c r="K44" s="37">
        <v>12</v>
      </c>
      <c r="L44" s="37"/>
      <c r="M44" s="38">
        <v>10</v>
      </c>
      <c r="N44" s="36"/>
      <c r="O44" s="37">
        <v>6</v>
      </c>
      <c r="P44" s="37"/>
      <c r="Q44" s="38">
        <v>7</v>
      </c>
      <c r="R44" s="36"/>
      <c r="S44" s="37"/>
      <c r="T44" s="37"/>
      <c r="U44" s="38"/>
      <c r="V44" s="36"/>
      <c r="W44" s="37">
        <f>IF(U45="","",U45)</f>
        <v>9</v>
      </c>
      <c r="X44" s="37"/>
      <c r="Y44" s="38">
        <f>IF(S45="","",S45)</f>
        <v>5</v>
      </c>
      <c r="Z44" s="36"/>
      <c r="AA44" s="37">
        <f>IF(U46="","",U46)</f>
      </c>
      <c r="AB44" s="37"/>
      <c r="AC44" s="38">
        <f>IF(S46="","",S46)</f>
      </c>
      <c r="AD44" s="36"/>
      <c r="AE44" s="37">
        <f>IF(U47="","",U47)</f>
      </c>
      <c r="AF44" s="37"/>
      <c r="AG44" s="38">
        <f>IF(S47="","",S47)</f>
      </c>
      <c r="AH44" s="36"/>
      <c r="AI44" s="37"/>
      <c r="AJ44" s="37"/>
      <c r="AK44" s="38"/>
      <c r="AL44" s="30">
        <f t="shared" si="84"/>
        <v>3</v>
      </c>
      <c r="AM44" s="30">
        <f t="shared" si="85"/>
        <v>2</v>
      </c>
      <c r="AN44" s="30">
        <f t="shared" si="86"/>
        <v>0</v>
      </c>
      <c r="AO44" s="31">
        <f t="shared" si="87"/>
        <v>6</v>
      </c>
      <c r="AP44" s="32">
        <f t="shared" si="88"/>
        <v>0</v>
      </c>
      <c r="AQ44" s="33">
        <f t="shared" si="89"/>
        <v>0</v>
      </c>
      <c r="AR44" s="34">
        <f t="shared" si="90"/>
        <v>6</v>
      </c>
      <c r="AS44" s="30">
        <f t="shared" si="91"/>
        <v>39</v>
      </c>
      <c r="AT44" s="30">
        <f t="shared" si="92"/>
        <v>36</v>
      </c>
      <c r="AU44" s="30">
        <f t="shared" si="93"/>
        <v>3</v>
      </c>
      <c r="AV44" s="1"/>
      <c r="AW44" s="1"/>
      <c r="AX44" s="42">
        <f>BC44+COUNTIF(BC$39:BC43,BC44)</f>
        <v>3</v>
      </c>
      <c r="AY44" s="44" t="str">
        <f t="shared" si="75"/>
        <v>スーパーフェニックス</v>
      </c>
      <c r="AZ44" s="42">
        <f t="shared" si="76"/>
        <v>6</v>
      </c>
      <c r="BA44" s="42">
        <f t="shared" si="77"/>
        <v>3</v>
      </c>
      <c r="BB44" s="42">
        <f t="shared" si="78"/>
        <v>5</v>
      </c>
      <c r="BC44" s="42">
        <f>RANK(AZ44,AZ$40:AZ$46)</f>
        <v>2</v>
      </c>
      <c r="BD44" s="43">
        <f>VLOOKUP(ROW(BB5),$AX$40:$BC$46,6,FALSE)</f>
        <v>5</v>
      </c>
      <c r="BE44" s="45" t="str">
        <f>VLOOKUP(ROW(BB5),$AX$40:$BC$46,2,FALSE)</f>
        <v>リトルベアーズ</v>
      </c>
      <c r="BF44" s="45">
        <f>VLOOKUP(ROW(BB5),$AX$40:$BC$46,3,FALSE)</f>
        <v>2</v>
      </c>
      <c r="BG44" s="45">
        <f>VLOOKUP(ROW(BB5),$AX$40:$BC$46,4,FALSE)</f>
        <v>1</v>
      </c>
      <c r="BH44" s="45">
        <f>VLOOKUP(ROW(BB5),$AX$40:$BC$46,5,FALSE)</f>
        <v>5</v>
      </c>
      <c r="BI44" s="55"/>
      <c r="BK44" s="42">
        <f>BN44+COUNTIF(BN$39:BN43,BN44)</f>
        <v>5</v>
      </c>
      <c r="BL44" s="44" t="str">
        <f t="shared" si="79"/>
        <v>スーパーフェニックス</v>
      </c>
      <c r="BM44" s="42">
        <f t="shared" si="80"/>
        <v>5</v>
      </c>
      <c r="BN44" s="42">
        <f t="shared" si="81"/>
        <v>1</v>
      </c>
      <c r="BO44" s="43">
        <f t="shared" si="82"/>
        <v>1</v>
      </c>
      <c r="BP44" s="45" t="str">
        <f t="shared" si="83"/>
        <v>スーパーフェニックス</v>
      </c>
    </row>
    <row r="45" spans="1:68" ht="19.5" customHeight="1">
      <c r="A45" s="79" t="s">
        <v>65</v>
      </c>
      <c r="B45" s="36"/>
      <c r="C45" s="37">
        <v>0</v>
      </c>
      <c r="D45" s="37"/>
      <c r="E45" s="38">
        <v>14</v>
      </c>
      <c r="F45" s="36"/>
      <c r="G45" s="37">
        <v>11</v>
      </c>
      <c r="H45" s="37"/>
      <c r="I45" s="38">
        <v>3</v>
      </c>
      <c r="J45" s="36"/>
      <c r="K45" s="37">
        <v>9</v>
      </c>
      <c r="L45" s="37"/>
      <c r="M45" s="38">
        <v>7</v>
      </c>
      <c r="N45" s="36"/>
      <c r="O45" s="37">
        <v>9</v>
      </c>
      <c r="P45" s="37"/>
      <c r="Q45" s="38">
        <v>3</v>
      </c>
      <c r="R45" s="36"/>
      <c r="S45" s="37">
        <v>5</v>
      </c>
      <c r="T45" s="37"/>
      <c r="U45" s="38">
        <v>9</v>
      </c>
      <c r="V45" s="36"/>
      <c r="W45" s="37"/>
      <c r="X45" s="37"/>
      <c r="Y45" s="38"/>
      <c r="Z45" s="36"/>
      <c r="AA45" s="37">
        <f>IF(Y46="","",Y46)</f>
      </c>
      <c r="AB45" s="37"/>
      <c r="AC45" s="38">
        <f>IF(W46="","",W46)</f>
      </c>
      <c r="AD45" s="36"/>
      <c r="AE45" s="37">
        <f>IF(Y47="","",Y47)</f>
      </c>
      <c r="AF45" s="37"/>
      <c r="AG45" s="38">
        <f>IF(W47="","",W47)</f>
      </c>
      <c r="AH45" s="36"/>
      <c r="AI45" s="37"/>
      <c r="AJ45" s="37"/>
      <c r="AK45" s="38"/>
      <c r="AL45" s="30">
        <f t="shared" si="84"/>
        <v>3</v>
      </c>
      <c r="AM45" s="30">
        <f t="shared" si="85"/>
        <v>2</v>
      </c>
      <c r="AN45" s="30">
        <f t="shared" si="86"/>
        <v>0</v>
      </c>
      <c r="AO45" s="31">
        <f t="shared" si="87"/>
        <v>6</v>
      </c>
      <c r="AP45" s="32">
        <f t="shared" si="88"/>
        <v>0</v>
      </c>
      <c r="AQ45" s="33">
        <f t="shared" si="89"/>
        <v>0</v>
      </c>
      <c r="AR45" s="34">
        <f t="shared" si="90"/>
        <v>6</v>
      </c>
      <c r="AS45" s="30">
        <f t="shared" si="91"/>
        <v>34</v>
      </c>
      <c r="AT45" s="30">
        <f t="shared" si="92"/>
        <v>36</v>
      </c>
      <c r="AU45" s="30">
        <f t="shared" si="93"/>
        <v>-2</v>
      </c>
      <c r="AV45" s="1"/>
      <c r="AW45" s="1"/>
      <c r="AX45" s="42">
        <f>BC45+COUNTIF(BC$39:BC44,BC45)</f>
        <v>4</v>
      </c>
      <c r="AY45" s="44" t="str">
        <f t="shared" si="75"/>
        <v>布佐スパイダース</v>
      </c>
      <c r="AZ45" s="42">
        <f t="shared" si="76"/>
        <v>6</v>
      </c>
      <c r="BA45" s="42">
        <f t="shared" si="77"/>
        <v>3</v>
      </c>
      <c r="BB45" s="42">
        <f t="shared" si="78"/>
        <v>5</v>
      </c>
      <c r="BC45" s="42">
        <f>RANK(AZ45,AZ$40:AZ$46)</f>
        <v>2</v>
      </c>
      <c r="BD45" s="43">
        <f>VLOOKUP(ROW(BB6),$AX$40:$BC$46,6,FALSE)</f>
        <v>6</v>
      </c>
      <c r="BE45" s="45" t="str">
        <f>VLOOKUP(ROW(BB6),$AX$40:$BC$46,2,FALSE)</f>
        <v>八柱サンジュニアーズ</v>
      </c>
      <c r="BF45" s="45">
        <f>VLOOKUP(ROW(BB6),$AX$40:$BC$46,3,FALSE)</f>
        <v>0</v>
      </c>
      <c r="BG45" s="45">
        <f>VLOOKUP(ROW(BB6),$AX$40:$BC$46,4,FALSE)</f>
        <v>0</v>
      </c>
      <c r="BH45" s="45">
        <f>VLOOKUP(ROW(BB6),$AX$40:$BC$46,5,FALSE)</f>
        <v>5</v>
      </c>
      <c r="BI45" s="55"/>
      <c r="BK45" s="42">
        <f>BN45+COUNTIF(BN$39:BN44,BN45)</f>
        <v>6</v>
      </c>
      <c r="BL45" s="44" t="str">
        <f t="shared" si="79"/>
        <v>布佐スパイダース</v>
      </c>
      <c r="BM45" s="42">
        <f t="shared" si="80"/>
        <v>5</v>
      </c>
      <c r="BN45" s="42">
        <f t="shared" si="81"/>
        <v>1</v>
      </c>
      <c r="BO45" s="43">
        <f t="shared" si="82"/>
        <v>1</v>
      </c>
      <c r="BP45" s="45" t="str">
        <f t="shared" si="83"/>
        <v>布佐スパイダース</v>
      </c>
    </row>
    <row r="46" spans="1:68" ht="19.5" customHeight="1">
      <c r="A46" s="79"/>
      <c r="B46" s="36"/>
      <c r="C46" s="37"/>
      <c r="D46" s="37"/>
      <c r="E46" s="38"/>
      <c r="F46" s="36"/>
      <c r="G46" s="37"/>
      <c r="H46" s="37"/>
      <c r="I46" s="38"/>
      <c r="J46" s="36"/>
      <c r="K46" s="37"/>
      <c r="L46" s="37"/>
      <c r="M46" s="38"/>
      <c r="N46" s="36"/>
      <c r="O46" s="37"/>
      <c r="P46" s="37"/>
      <c r="Q46" s="38"/>
      <c r="R46" s="36"/>
      <c r="S46" s="37"/>
      <c r="T46" s="37"/>
      <c r="U46" s="38"/>
      <c r="V46" s="36"/>
      <c r="W46" s="37"/>
      <c r="X46" s="37"/>
      <c r="Y46" s="38"/>
      <c r="Z46" s="36"/>
      <c r="AA46" s="37"/>
      <c r="AB46" s="37"/>
      <c r="AC46" s="38"/>
      <c r="AD46" s="36"/>
      <c r="AE46" s="37">
        <f>IF(AC47="","",AC47)</f>
      </c>
      <c r="AF46" s="37"/>
      <c r="AG46" s="38">
        <f>IF(AA47="","",AA47)</f>
      </c>
      <c r="AH46" s="36"/>
      <c r="AI46" s="37"/>
      <c r="AJ46" s="37"/>
      <c r="AK46" s="38"/>
      <c r="AL46" s="30">
        <f t="shared" si="84"/>
        <v>0</v>
      </c>
      <c r="AM46" s="30">
        <f t="shared" si="85"/>
        <v>0</v>
      </c>
      <c r="AN46" s="30">
        <f t="shared" si="86"/>
        <v>0</v>
      </c>
      <c r="AO46" s="31">
        <f t="shared" si="87"/>
        <v>0</v>
      </c>
      <c r="AP46" s="32">
        <f t="shared" si="88"/>
        <v>0</v>
      </c>
      <c r="AQ46" s="33">
        <f t="shared" si="89"/>
        <v>0</v>
      </c>
      <c r="AR46" s="34">
        <f t="shared" si="90"/>
        <v>0</v>
      </c>
      <c r="AS46" s="30">
        <f t="shared" si="91"/>
        <v>0</v>
      </c>
      <c r="AT46" s="30">
        <f t="shared" si="92"/>
        <v>0</v>
      </c>
      <c r="AU46" s="30">
        <f t="shared" si="93"/>
        <v>0</v>
      </c>
      <c r="AV46" s="1"/>
      <c r="AW46" s="1"/>
      <c r="AX46" s="42"/>
      <c r="AY46" s="44"/>
      <c r="AZ46" s="42"/>
      <c r="BA46" s="42"/>
      <c r="BB46" s="42"/>
      <c r="BC46" s="42"/>
      <c r="BD46" s="43"/>
      <c r="BE46" s="45"/>
      <c r="BF46" s="45"/>
      <c r="BG46" s="45"/>
      <c r="BH46" s="45"/>
      <c r="BI46" s="55"/>
      <c r="BK46" s="42"/>
      <c r="BL46" s="44"/>
      <c r="BM46" s="42"/>
      <c r="BN46" s="42"/>
      <c r="BO46" s="43"/>
      <c r="BP46" s="45"/>
    </row>
    <row r="47" spans="1:68" ht="19.5" customHeight="1">
      <c r="A47" s="79"/>
      <c r="B47" s="36"/>
      <c r="C47" s="37"/>
      <c r="D47" s="37"/>
      <c r="E47" s="38"/>
      <c r="F47" s="36"/>
      <c r="G47" s="37"/>
      <c r="H47" s="37"/>
      <c r="I47" s="38"/>
      <c r="J47" s="36"/>
      <c r="K47" s="37"/>
      <c r="L47" s="37"/>
      <c r="M47" s="38"/>
      <c r="N47" s="36"/>
      <c r="O47" s="37"/>
      <c r="P47" s="37"/>
      <c r="Q47" s="38"/>
      <c r="R47" s="36"/>
      <c r="S47" s="37"/>
      <c r="T47" s="37"/>
      <c r="U47" s="38"/>
      <c r="V47" s="36"/>
      <c r="W47" s="37"/>
      <c r="X47" s="37"/>
      <c r="Y47" s="38"/>
      <c r="Z47" s="36"/>
      <c r="AA47" s="37"/>
      <c r="AB47" s="37"/>
      <c r="AC47" s="38"/>
      <c r="AD47" s="37"/>
      <c r="AE47" s="37"/>
      <c r="AF47" s="37"/>
      <c r="AG47" s="37"/>
      <c r="AH47" s="36"/>
      <c r="AI47" s="37"/>
      <c r="AJ47" s="37"/>
      <c r="AK47" s="38"/>
      <c r="AL47" s="30">
        <f t="shared" si="84"/>
        <v>0</v>
      </c>
      <c r="AM47" s="30">
        <f t="shared" si="85"/>
        <v>0</v>
      </c>
      <c r="AN47" s="30">
        <f t="shared" si="86"/>
        <v>0</v>
      </c>
      <c r="AO47" s="31">
        <f t="shared" si="87"/>
        <v>0</v>
      </c>
      <c r="AP47" s="32">
        <f t="shared" si="88"/>
        <v>0</v>
      </c>
      <c r="AQ47" s="33">
        <f t="shared" si="89"/>
        <v>0</v>
      </c>
      <c r="AR47" s="34">
        <f t="shared" si="90"/>
        <v>0</v>
      </c>
      <c r="AS47" s="30">
        <f t="shared" si="91"/>
        <v>0</v>
      </c>
      <c r="AT47" s="30">
        <f t="shared" si="92"/>
        <v>0</v>
      </c>
      <c r="AU47" s="30">
        <f t="shared" si="93"/>
        <v>0</v>
      </c>
      <c r="AV47" s="1"/>
      <c r="AW47" s="1"/>
      <c r="AX47" s="42"/>
      <c r="AY47" s="44"/>
      <c r="AZ47" s="42"/>
      <c r="BA47" s="42"/>
      <c r="BB47" s="42"/>
      <c r="BC47" s="42"/>
      <c r="BD47" s="43"/>
      <c r="BE47" s="45"/>
      <c r="BF47" s="45"/>
      <c r="BG47" s="45"/>
      <c r="BH47" s="45"/>
      <c r="BI47" s="55"/>
      <c r="BK47" s="42"/>
      <c r="BL47" s="44"/>
      <c r="BM47" s="42"/>
      <c r="BN47" s="42"/>
      <c r="BO47" s="43"/>
      <c r="BP47" s="45"/>
    </row>
    <row r="48" spans="1:66" ht="19.5" customHeight="1">
      <c r="A48" s="4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6">
        <f>SUM(AL40:AL47)</f>
        <v>15</v>
      </c>
      <c r="AM48" s="6">
        <f>SUM(AM40:AM47)</f>
        <v>15</v>
      </c>
      <c r="AN48" s="6">
        <f>SUM(AN40:AN47)</f>
        <v>0</v>
      </c>
      <c r="AO48" s="6"/>
      <c r="AP48" s="6"/>
      <c r="AQ48" s="6"/>
      <c r="AR48" s="1"/>
      <c r="AS48" s="6">
        <f>SUM(AS40:AS47)</f>
        <v>213</v>
      </c>
      <c r="AT48" s="6">
        <f>SUM(AT40:AT47)</f>
        <v>213</v>
      </c>
      <c r="AU48" s="6">
        <f>SUM(AU40:AU47)</f>
        <v>0</v>
      </c>
      <c r="BM48" s="53">
        <f>SUM(BM40:BM47)/2</f>
        <v>15</v>
      </c>
      <c r="BN48" s="3">
        <f>6*5/2</f>
        <v>15</v>
      </c>
    </row>
    <row r="49" spans="1:51" ht="19.5" customHeight="1">
      <c r="A49" s="4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60">
        <f>IF(AL48=AM48,"","計算間違い")</f>
      </c>
      <c r="AQ49" s="1"/>
      <c r="AR49" s="1"/>
      <c r="AS49" s="1"/>
      <c r="AT49" s="60">
        <f>IF(AN48/2=TRUNC(AN48/2,0),"","計算間違い")</f>
      </c>
      <c r="AU49" s="1"/>
      <c r="AV49" s="1"/>
      <c r="AW49" s="6"/>
      <c r="AX49" s="6"/>
      <c r="AY49" s="6"/>
    </row>
    <row r="50" spans="1:51" ht="19.5" customHeight="1">
      <c r="A50" s="4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6"/>
      <c r="AX50" s="6"/>
      <c r="AY50" s="6"/>
    </row>
    <row r="51" spans="1:51" ht="19.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60"/>
      <c r="AQ51" s="1"/>
      <c r="AR51" s="1"/>
      <c r="AS51" s="1"/>
      <c r="AT51" s="60"/>
      <c r="AU51" s="1"/>
      <c r="AV51" s="1"/>
      <c r="AW51" s="1"/>
      <c r="AX51" s="1"/>
      <c r="AY51" s="1"/>
    </row>
    <row r="52" spans="1:67" ht="19.5" customHeight="1">
      <c r="A52" s="170" t="s">
        <v>3</v>
      </c>
      <c r="B52" s="170"/>
      <c r="C52" s="170"/>
      <c r="D52" s="170"/>
      <c r="E52" s="170"/>
      <c r="F52" s="170"/>
      <c r="G52" s="170"/>
      <c r="H52" s="170"/>
      <c r="I52" s="181"/>
      <c r="J52" s="181"/>
      <c r="K52" s="181"/>
      <c r="L52" s="181"/>
      <c r="M52" s="1"/>
      <c r="N52" s="1"/>
      <c r="O52" s="12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BM52" s="53">
        <f>+BM48+BM37+BM26+BM13</f>
        <v>58</v>
      </c>
      <c r="BN52" s="53">
        <f>+BN48+BN37+BN26+BN13</f>
        <v>66</v>
      </c>
      <c r="BO52" s="3">
        <f>+BM52/BN52</f>
        <v>0.8787878787878788</v>
      </c>
    </row>
    <row r="53" spans="1:51" ht="19.5" customHeight="1">
      <c r="A53" s="67"/>
      <c r="B53" s="1"/>
      <c r="C53" s="1"/>
      <c r="D53" s="1"/>
      <c r="E53" s="118"/>
      <c r="F53" s="118"/>
      <c r="G53" s="119"/>
      <c r="H53" s="92"/>
      <c r="I53" s="92"/>
      <c r="J53" s="92"/>
      <c r="K53" s="92"/>
      <c r="L53" s="9"/>
      <c r="M53" s="9"/>
      <c r="N53" s="9"/>
      <c r="O53" s="103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1"/>
      <c r="AQ53" s="1"/>
      <c r="AR53" s="1"/>
      <c r="AS53" s="1"/>
      <c r="AT53" s="1"/>
      <c r="AU53" s="1"/>
      <c r="AV53" s="1"/>
      <c r="AW53" s="1"/>
      <c r="AX53" s="1"/>
      <c r="AY53" s="1"/>
    </row>
    <row r="54" spans="1:51" ht="19.5" customHeight="1" thickBot="1">
      <c r="A54" s="67"/>
      <c r="B54" s="10"/>
      <c r="C54" s="130"/>
      <c r="D54" s="131"/>
      <c r="E54" s="126"/>
      <c r="F54" s="126"/>
      <c r="G54" s="172"/>
      <c r="H54" s="172"/>
      <c r="I54" s="88"/>
      <c r="J54" s="122">
        <v>3</v>
      </c>
      <c r="K54" s="122"/>
      <c r="L54" s="190"/>
      <c r="M54" s="191">
        <v>5</v>
      </c>
      <c r="N54" s="1"/>
      <c r="O54" s="100"/>
      <c r="P54" s="11"/>
      <c r="Q54" s="93"/>
      <c r="R54" s="13"/>
      <c r="S54" s="6"/>
      <c r="T54" s="13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13"/>
      <c r="AM54" s="13"/>
      <c r="AN54" s="13"/>
      <c r="AO54" s="14"/>
      <c r="AP54" s="1"/>
      <c r="AQ54" s="1"/>
      <c r="AR54" s="1"/>
      <c r="AS54" s="1"/>
      <c r="AT54" s="1"/>
      <c r="AU54" s="1"/>
      <c r="AV54" s="1"/>
      <c r="AW54" s="1"/>
      <c r="AX54" s="1"/>
      <c r="AY54" s="1"/>
    </row>
    <row r="55" spans="1:51" ht="19.5" customHeight="1">
      <c r="A55" s="67"/>
      <c r="B55" s="81"/>
      <c r="C55" s="132">
        <v>6</v>
      </c>
      <c r="D55" s="172"/>
      <c r="E55" s="172"/>
      <c r="F55" s="17">
        <v>2</v>
      </c>
      <c r="G55" s="111"/>
      <c r="H55" s="15"/>
      <c r="I55" s="66"/>
      <c r="J55" s="123">
        <v>3</v>
      </c>
      <c r="K55" s="172"/>
      <c r="L55" s="172"/>
      <c r="M55" s="66">
        <v>3</v>
      </c>
      <c r="N55" s="192"/>
      <c r="O55" s="100"/>
      <c r="P55" s="172"/>
      <c r="Q55" s="172"/>
      <c r="R55" s="65"/>
      <c r="S55" s="80"/>
      <c r="T55" s="13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13"/>
      <c r="AM55" s="18"/>
      <c r="AN55" s="18"/>
      <c r="AO55" s="14"/>
      <c r="AP55" s="1"/>
      <c r="AQ55" s="1"/>
      <c r="AR55" s="1"/>
      <c r="AS55" s="1"/>
      <c r="AT55" s="1"/>
      <c r="AU55" s="1"/>
      <c r="AV55" s="1"/>
      <c r="AW55" s="1"/>
      <c r="AX55" s="1"/>
      <c r="AY55" s="1"/>
    </row>
    <row r="56" spans="1:51" ht="19.5" customHeight="1">
      <c r="A56" s="67"/>
      <c r="B56" s="77"/>
      <c r="C56" s="133"/>
      <c r="D56" s="16"/>
      <c r="E56" s="17"/>
      <c r="F56" s="110"/>
      <c r="G56" s="112"/>
      <c r="H56" s="15"/>
      <c r="I56" s="115"/>
      <c r="J56" s="124"/>
      <c r="K56" s="11"/>
      <c r="L56" s="13"/>
      <c r="M56" s="125"/>
      <c r="N56" s="193"/>
      <c r="O56" s="100"/>
      <c r="P56" s="98"/>
      <c r="Q56" s="65"/>
      <c r="R56" s="13"/>
      <c r="S56" s="6"/>
      <c r="T56" s="13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13"/>
      <c r="AM56" s="18"/>
      <c r="AN56" s="18"/>
      <c r="AO56" s="14"/>
      <c r="AP56" s="1"/>
      <c r="AQ56" s="1"/>
      <c r="AR56" s="1"/>
      <c r="AS56" s="1"/>
      <c r="AT56" s="1"/>
      <c r="AU56" s="1"/>
      <c r="AV56" s="1"/>
      <c r="AW56" s="1"/>
      <c r="AX56" s="1"/>
      <c r="AY56" s="1"/>
    </row>
    <row r="57" spans="1:51" ht="19.5" customHeight="1">
      <c r="A57" s="1"/>
      <c r="B57" s="175" t="str">
        <f>+A7</f>
        <v>高塚新田ラークス</v>
      </c>
      <c r="C57" s="176"/>
      <c r="D57" s="22"/>
      <c r="E57" s="22"/>
      <c r="F57" s="175" t="str">
        <f>+A18</f>
        <v>五香メッツ</v>
      </c>
      <c r="G57" s="176"/>
      <c r="H57" s="23"/>
      <c r="I57" s="175" t="str">
        <f>+A32</f>
        <v>小金原ビクトリー</v>
      </c>
      <c r="J57" s="176"/>
      <c r="K57" s="24"/>
      <c r="L57" s="24"/>
      <c r="M57" s="175" t="str">
        <f>+A40</f>
        <v>常盤平ボーイズ</v>
      </c>
      <c r="N57" s="176"/>
      <c r="O57" s="100"/>
      <c r="P57" s="174"/>
      <c r="Q57" s="174"/>
      <c r="R57" s="174"/>
      <c r="S57" s="174"/>
      <c r="T57" s="6"/>
      <c r="U57" s="6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</row>
    <row r="58" spans="1:51" ht="19.5" customHeight="1">
      <c r="A58" s="1"/>
      <c r="B58" s="177"/>
      <c r="C58" s="178"/>
      <c r="D58" s="22"/>
      <c r="E58" s="22"/>
      <c r="F58" s="177"/>
      <c r="G58" s="178"/>
      <c r="H58" s="23"/>
      <c r="I58" s="177"/>
      <c r="J58" s="178"/>
      <c r="K58" s="24"/>
      <c r="L58" s="24"/>
      <c r="M58" s="177"/>
      <c r="N58" s="178"/>
      <c r="O58" s="6"/>
      <c r="P58" s="174"/>
      <c r="Q58" s="174"/>
      <c r="R58" s="174"/>
      <c r="S58" s="174"/>
      <c r="T58" s="6"/>
      <c r="U58" s="6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</row>
    <row r="59" spans="1:51" ht="19.5" customHeight="1">
      <c r="A59" s="1"/>
      <c r="B59" s="177"/>
      <c r="C59" s="178"/>
      <c r="D59" s="22"/>
      <c r="E59" s="22"/>
      <c r="F59" s="177"/>
      <c r="G59" s="178"/>
      <c r="H59" s="23"/>
      <c r="I59" s="177"/>
      <c r="J59" s="178"/>
      <c r="K59" s="24"/>
      <c r="L59" s="24"/>
      <c r="M59" s="177"/>
      <c r="N59" s="178"/>
      <c r="O59" s="6"/>
      <c r="P59" s="174"/>
      <c r="Q59" s="174"/>
      <c r="R59" s="174"/>
      <c r="S59" s="174"/>
      <c r="T59" s="6"/>
      <c r="U59" s="6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</row>
    <row r="60" spans="1:51" ht="60" customHeight="1">
      <c r="A60" s="1"/>
      <c r="B60" s="179"/>
      <c r="C60" s="180"/>
      <c r="D60" s="22"/>
      <c r="E60" s="22"/>
      <c r="F60" s="179"/>
      <c r="G60" s="180"/>
      <c r="H60" s="23"/>
      <c r="I60" s="179"/>
      <c r="J60" s="180"/>
      <c r="K60" s="24"/>
      <c r="L60" s="24"/>
      <c r="M60" s="179"/>
      <c r="N60" s="180"/>
      <c r="O60" s="6"/>
      <c r="P60" s="174"/>
      <c r="Q60" s="174"/>
      <c r="R60" s="174"/>
      <c r="S60" s="174"/>
      <c r="T60" s="6"/>
      <c r="U60" s="6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</row>
    <row r="61" spans="1:41" ht="19.5" customHeight="1">
      <c r="A61" s="1"/>
      <c r="B61" s="1"/>
      <c r="C61" s="6"/>
      <c r="D61" s="6"/>
      <c r="E61" s="182"/>
      <c r="F61" s="182"/>
      <c r="G61" s="6"/>
      <c r="H61" s="6"/>
      <c r="I61" s="82"/>
      <c r="J61" s="183"/>
      <c r="K61" s="182"/>
      <c r="L61" s="6"/>
      <c r="M61" s="6"/>
      <c r="N61" s="82"/>
      <c r="O61" s="6"/>
      <c r="P61" s="6"/>
      <c r="Q61" s="6"/>
      <c r="R61" s="6"/>
      <c r="S61" s="6"/>
      <c r="T61" s="6"/>
      <c r="U61" s="6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</row>
    <row r="62" spans="3:41" ht="19.5" customHeight="1"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50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</row>
    <row r="63" spans="7:13" ht="19.5" customHeight="1">
      <c r="G63" s="50"/>
      <c r="H63" s="50"/>
      <c r="I63" s="50"/>
      <c r="J63" s="50"/>
      <c r="K63" s="50"/>
      <c r="L63" s="50"/>
      <c r="M63" s="50"/>
    </row>
  </sheetData>
  <sheetProtection/>
  <mergeCells count="74">
    <mergeCell ref="I52:L52"/>
    <mergeCell ref="B57:C60"/>
    <mergeCell ref="F57:G60"/>
    <mergeCell ref="K55:L55"/>
    <mergeCell ref="E61:F61"/>
    <mergeCell ref="J61:K61"/>
    <mergeCell ref="I57:J60"/>
    <mergeCell ref="R57:S60"/>
    <mergeCell ref="P57:Q60"/>
    <mergeCell ref="M57:N60"/>
    <mergeCell ref="B3:E3"/>
    <mergeCell ref="F3:I3"/>
    <mergeCell ref="G27:J27"/>
    <mergeCell ref="D55:E55"/>
    <mergeCell ref="B39:E39"/>
    <mergeCell ref="B16:E16"/>
    <mergeCell ref="G54:H54"/>
    <mergeCell ref="N3:Q3"/>
    <mergeCell ref="B28:E28"/>
    <mergeCell ref="G38:J38"/>
    <mergeCell ref="K38:N38"/>
    <mergeCell ref="J16:M16"/>
    <mergeCell ref="P55:Q55"/>
    <mergeCell ref="F39:I39"/>
    <mergeCell ref="J39:M39"/>
    <mergeCell ref="F16:I16"/>
    <mergeCell ref="O27:S27"/>
    <mergeCell ref="O38:S38"/>
    <mergeCell ref="N39:Q39"/>
    <mergeCell ref="A52:H52"/>
    <mergeCell ref="R39:U39"/>
    <mergeCell ref="G2:J2"/>
    <mergeCell ref="F28:I28"/>
    <mergeCell ref="J28:M28"/>
    <mergeCell ref="K27:N27"/>
    <mergeCell ref="G15:J15"/>
    <mergeCell ref="N28:Q28"/>
    <mergeCell ref="J3:M3"/>
    <mergeCell ref="K2:N2"/>
    <mergeCell ref="N16:Q16"/>
    <mergeCell ref="O2:S2"/>
    <mergeCell ref="AN38:AO38"/>
    <mergeCell ref="Y15:AH15"/>
    <mergeCell ref="AD28:AG28"/>
    <mergeCell ref="K15:N15"/>
    <mergeCell ref="O15:S15"/>
    <mergeCell ref="R16:U16"/>
    <mergeCell ref="AN2:AO2"/>
    <mergeCell ref="AN15:AO15"/>
    <mergeCell ref="AN27:AO27"/>
    <mergeCell ref="V3:Y3"/>
    <mergeCell ref="U15:X15"/>
    <mergeCell ref="V16:Y16"/>
    <mergeCell ref="Z16:AC16"/>
    <mergeCell ref="V28:Y28"/>
    <mergeCell ref="Y38:AH38"/>
    <mergeCell ref="AH16:AK16"/>
    <mergeCell ref="V39:Y39"/>
    <mergeCell ref="AD39:AG39"/>
    <mergeCell ref="Y27:AH27"/>
    <mergeCell ref="AH28:AK28"/>
    <mergeCell ref="Z28:AC28"/>
    <mergeCell ref="U27:X27"/>
    <mergeCell ref="R28:U28"/>
    <mergeCell ref="U38:X38"/>
    <mergeCell ref="Z39:AC39"/>
    <mergeCell ref="Y2:AH2"/>
    <mergeCell ref="Z3:AC3"/>
    <mergeCell ref="AD16:AG16"/>
    <mergeCell ref="R3:U3"/>
    <mergeCell ref="AD3:AG3"/>
    <mergeCell ref="U2:X2"/>
    <mergeCell ref="AH3:AK3"/>
    <mergeCell ref="AH39:AK39"/>
  </mergeCells>
  <conditionalFormatting sqref="K42 S8 G18 O32 W22 AA23:AA24 O20 C17 S21 K31 W34 G30 AA35 AI36 C29 O43:O44 W45 G41 AA46 AI47 C40 G5:G6 AA10:AA11 O7 AI12 C4 W9">
    <cfRule type="cellIs" priority="164" dxfId="258" operator="greaterThanOrEqual" stopIfTrue="1">
      <formula>E4</formula>
    </cfRule>
    <cfRule type="cellIs" priority="165" dxfId="259" operator="lessThanOrEqual" stopIfTrue="1">
      <formula>E4</formula>
    </cfRule>
  </conditionalFormatting>
  <conditionalFormatting sqref="M42 U8 I18 Q32 Y22 AC23:AC24 Q20 E17 U21 M31 Y34 I30 AC35 AK36 E29 Q43:Q44 Y45 I41 AC46 AK47 E40 I5:I6 Q7 AK12 E4 Y9 AC10:AC11">
    <cfRule type="cellIs" priority="166" dxfId="258" operator="lessThanOrEqual" stopIfTrue="1">
      <formula>C4</formula>
    </cfRule>
    <cfRule type="cellIs" priority="167" dxfId="259" operator="greaterThanOrEqual" stopIfTrue="1">
      <formula>C4</formula>
    </cfRule>
  </conditionalFormatting>
  <conditionalFormatting sqref="E18:E25 AC29:AC34 Q17:Q19 M17:M25 AC17:AC22 Y17:Y21 U17:U20 I17 I20:I25 AC25 Y23:Y25 U22:U25 Q21:Q25 E30:E36 I29 M29 Q29:Q31 Q34:Q36 AC36:AG36 Y35:Y36 E41:E47 I40 M40:M41 Q40:Q42 Q45:Q47 AC47:AG47 Y46:Y47 Y40:Y44 U40:U47 M43:M47 Q8:Q12 AC40:AC45 Y29:Y33 U29:U36 I31:I36 M32:M36 AK29:AK35 E5:E12 Q4:Q6 M4:M12 AK4:AK10 AC4:AC9 I42:I47 U4:U7 I4 I7:I12 AC12:AG12 U9:U12 AK40:AK46 Y4:Y8 Y10:Y12">
    <cfRule type="cellIs" priority="168" dxfId="258" operator="lessThan" stopIfTrue="1">
      <formula>C4</formula>
    </cfRule>
    <cfRule type="cellIs" priority="169" dxfId="259" operator="greaterThan" stopIfTrue="1">
      <formula>C4</formula>
    </cfRule>
    <cfRule type="cellIs" priority="170" dxfId="260" operator="equal" stopIfTrue="1">
      <formula>C4</formula>
    </cfRule>
  </conditionalFormatting>
  <conditionalFormatting sqref="O17:O19 AA29:AA34 K17:K25 C18:C25 AA17:AA22 W17:W21 S17:S20 G17 G20:G25 AA25 W23:W25 S22:S25 O21:O25 W29:W33 G29 O29:O31 O34:O36 AA36 W35:W36 W40:W44 G40 K40:K41 O40:O42 O45:O47 AA47 W46:W47 S40:S47 C41:C47 K43:K47 O8:O12 AA40:AA45 S29:S36 C30:C36 G31:G36 K32:K36 AI29:AI35 O4:O6 K4:K12 C5:C12 AI4:AI10 AA4:AA9 G42:G47 S4:S7 G4 G7:G12 AA12 S9:S12 AI40:AI46 W4:W8 W10:W12 K29">
    <cfRule type="cellIs" priority="171" dxfId="258" operator="greaterThan" stopIfTrue="1">
      <formula>E4</formula>
    </cfRule>
    <cfRule type="cellIs" priority="172" dxfId="259" operator="lessThan" stopIfTrue="1">
      <formula>E4</formula>
    </cfRule>
    <cfRule type="cellIs" priority="173" dxfId="260" operator="equal" stopIfTrue="1">
      <formula>E4</formula>
    </cfRule>
  </conditionalFormatting>
  <conditionalFormatting sqref="O44">
    <cfRule type="cellIs" priority="161" dxfId="258" operator="greaterThan" stopIfTrue="1">
      <formula>Q44</formula>
    </cfRule>
    <cfRule type="cellIs" priority="162" dxfId="259" operator="lessThan" stopIfTrue="1">
      <formula>Q44</formula>
    </cfRule>
    <cfRule type="cellIs" priority="163" dxfId="260" operator="equal" stopIfTrue="1">
      <formula>Q44</formula>
    </cfRule>
  </conditionalFormatting>
  <conditionalFormatting sqref="Q44">
    <cfRule type="cellIs" priority="159" dxfId="258" operator="greaterThanOrEqual" stopIfTrue="1">
      <formula>S44</formula>
    </cfRule>
    <cfRule type="cellIs" priority="160" dxfId="259" operator="lessThanOrEqual" stopIfTrue="1">
      <formula>S44</formula>
    </cfRule>
  </conditionalFormatting>
  <conditionalFormatting sqref="Q44">
    <cfRule type="cellIs" priority="156" dxfId="258" operator="greaterThan" stopIfTrue="1">
      <formula>S44</formula>
    </cfRule>
    <cfRule type="cellIs" priority="157" dxfId="259" operator="lessThan" stopIfTrue="1">
      <formula>S44</formula>
    </cfRule>
    <cfRule type="cellIs" priority="158" dxfId="260" operator="equal" stopIfTrue="1">
      <formula>S44</formula>
    </cfRule>
  </conditionalFormatting>
  <conditionalFormatting sqref="Q44">
    <cfRule type="cellIs" priority="153" dxfId="258" operator="lessThan" stopIfTrue="1">
      <formula>O44</formula>
    </cfRule>
    <cfRule type="cellIs" priority="154" dxfId="259" operator="greaterThan" stopIfTrue="1">
      <formula>O44</formula>
    </cfRule>
    <cfRule type="cellIs" priority="155" dxfId="260" operator="equal" stopIfTrue="1">
      <formula>O44</formula>
    </cfRule>
  </conditionalFormatting>
  <conditionalFormatting sqref="G19">
    <cfRule type="cellIs" priority="150" dxfId="258" operator="greaterThan" stopIfTrue="1">
      <formula>I19</formula>
    </cfRule>
    <cfRule type="cellIs" priority="151" dxfId="259" operator="lessThan" stopIfTrue="1">
      <formula>I19</formula>
    </cfRule>
    <cfRule type="cellIs" priority="152" dxfId="260" operator="equal" stopIfTrue="1">
      <formula>I19</formula>
    </cfRule>
  </conditionalFormatting>
  <conditionalFormatting sqref="I19">
    <cfRule type="cellIs" priority="147" dxfId="258" operator="lessThan" stopIfTrue="1">
      <formula>G19</formula>
    </cfRule>
    <cfRule type="cellIs" priority="148" dxfId="259" operator="greaterThan" stopIfTrue="1">
      <formula>G19</formula>
    </cfRule>
    <cfRule type="cellIs" priority="149" dxfId="260" operator="equal" stopIfTrue="1">
      <formula>G19</formula>
    </cfRule>
  </conditionalFormatting>
  <conditionalFormatting sqref="O33">
    <cfRule type="cellIs" priority="144" dxfId="258" operator="greaterThan" stopIfTrue="1">
      <formula>Q33</formula>
    </cfRule>
    <cfRule type="cellIs" priority="145" dxfId="259" operator="lessThan" stopIfTrue="1">
      <formula>Q33</formula>
    </cfRule>
    <cfRule type="cellIs" priority="146" dxfId="260" operator="equal" stopIfTrue="1">
      <formula>Q33</formula>
    </cfRule>
  </conditionalFormatting>
  <conditionalFormatting sqref="Q33">
    <cfRule type="cellIs" priority="141" dxfId="258" operator="lessThan" stopIfTrue="1">
      <formula>O33</formula>
    </cfRule>
    <cfRule type="cellIs" priority="142" dxfId="259" operator="greaterThan" stopIfTrue="1">
      <formula>O33</formula>
    </cfRule>
    <cfRule type="cellIs" priority="143" dxfId="260" operator="equal" stopIfTrue="1">
      <formula>O33</formula>
    </cfRule>
  </conditionalFormatting>
  <conditionalFormatting sqref="M30">
    <cfRule type="cellIs" priority="129" dxfId="258" operator="lessThan" stopIfTrue="1">
      <formula>K30</formula>
    </cfRule>
    <cfRule type="cellIs" priority="130" dxfId="259" operator="greaterThan" stopIfTrue="1">
      <formula>K30</formula>
    </cfRule>
    <cfRule type="cellIs" priority="131" dxfId="260" operator="equal" stopIfTrue="1">
      <formula>K30</formula>
    </cfRule>
  </conditionalFormatting>
  <conditionalFormatting sqref="K30">
    <cfRule type="cellIs" priority="132" dxfId="258" operator="greaterThan" stopIfTrue="1">
      <formula>M30</formula>
    </cfRule>
    <cfRule type="cellIs" priority="133" dxfId="259" operator="lessThan" stopIfTrue="1">
      <formula>M30</formula>
    </cfRule>
    <cfRule type="cellIs" priority="134" dxfId="260" operator="equal" stopIfTrue="1">
      <formula>M30</formula>
    </cfRule>
  </conditionalFormatting>
  <conditionalFormatting sqref="AK11">
    <cfRule type="cellIs" priority="111" dxfId="258" operator="lessThan" stopIfTrue="1">
      <formula>AI11</formula>
    </cfRule>
    <cfRule type="cellIs" priority="112" dxfId="259" operator="greaterThan" stopIfTrue="1">
      <formula>AI11</formula>
    </cfRule>
    <cfRule type="cellIs" priority="113" dxfId="260" operator="equal" stopIfTrue="1">
      <formula>AI11</formula>
    </cfRule>
  </conditionalFormatting>
  <conditionalFormatting sqref="AI11">
    <cfRule type="cellIs" priority="114" dxfId="258" operator="greaterThan" stopIfTrue="1">
      <formula>AK11</formula>
    </cfRule>
    <cfRule type="cellIs" priority="115" dxfId="259" operator="lessThan" stopIfTrue="1">
      <formula>AK11</formula>
    </cfRule>
    <cfRule type="cellIs" priority="116" dxfId="260" operator="equal" stopIfTrue="1">
      <formula>AK11</formula>
    </cfRule>
  </conditionalFormatting>
  <conditionalFormatting sqref="AI25">
    <cfRule type="cellIs" priority="101" dxfId="258" operator="greaterThanOrEqual" stopIfTrue="1">
      <formula>AK25</formula>
    </cfRule>
    <cfRule type="cellIs" priority="102" dxfId="259" operator="lessThanOrEqual" stopIfTrue="1">
      <formula>AK25</formula>
    </cfRule>
  </conditionalFormatting>
  <conditionalFormatting sqref="AD24:AG24 AK25">
    <cfRule type="cellIs" priority="103" dxfId="258" operator="lessThanOrEqual" stopIfTrue="1">
      <formula>AB24</formula>
    </cfRule>
    <cfRule type="cellIs" priority="104" dxfId="259" operator="greaterThanOrEqual" stopIfTrue="1">
      <formula>AB24</formula>
    </cfRule>
  </conditionalFormatting>
  <conditionalFormatting sqref="AK17:AK23 AD25:AG25">
    <cfRule type="cellIs" priority="105" dxfId="258" operator="lessThan" stopIfTrue="1">
      <formula>AB17</formula>
    </cfRule>
    <cfRule type="cellIs" priority="106" dxfId="259" operator="greaterThan" stopIfTrue="1">
      <formula>AB17</formula>
    </cfRule>
    <cfRule type="cellIs" priority="107" dxfId="260" operator="equal" stopIfTrue="1">
      <formula>AB17</formula>
    </cfRule>
  </conditionalFormatting>
  <conditionalFormatting sqref="AI17:AI23">
    <cfRule type="cellIs" priority="108" dxfId="258" operator="greaterThan" stopIfTrue="1">
      <formula>AK17</formula>
    </cfRule>
    <cfRule type="cellIs" priority="109" dxfId="259" operator="lessThan" stopIfTrue="1">
      <formula>AK17</formula>
    </cfRule>
    <cfRule type="cellIs" priority="110" dxfId="260" operator="equal" stopIfTrue="1">
      <formula>AK17</formula>
    </cfRule>
  </conditionalFormatting>
  <conditionalFormatting sqref="AK24">
    <cfRule type="cellIs" priority="83" dxfId="258" operator="lessThan" stopIfTrue="1">
      <formula>AI24</formula>
    </cfRule>
    <cfRule type="cellIs" priority="84" dxfId="259" operator="greaterThan" stopIfTrue="1">
      <formula>AI24</formula>
    </cfRule>
    <cfRule type="cellIs" priority="85" dxfId="260" operator="equal" stopIfTrue="1">
      <formula>AI24</formula>
    </cfRule>
  </conditionalFormatting>
  <conditionalFormatting sqref="AI24">
    <cfRule type="cellIs" priority="86" dxfId="258" operator="greaterThan" stopIfTrue="1">
      <formula>AK24</formula>
    </cfRule>
    <cfRule type="cellIs" priority="87" dxfId="259" operator="lessThan" stopIfTrue="1">
      <formula>AK24</formula>
    </cfRule>
    <cfRule type="cellIs" priority="88" dxfId="260" operator="equal" stopIfTrue="1">
      <formula>AK24</formula>
    </cfRule>
  </conditionalFormatting>
  <conditionalFormatting sqref="AG17:AG22">
    <cfRule type="cellIs" priority="47" dxfId="258" operator="lessThan" stopIfTrue="1">
      <formula>AE17</formula>
    </cfRule>
    <cfRule type="cellIs" priority="48" dxfId="259" operator="greaterThan" stopIfTrue="1">
      <formula>AE17</formula>
    </cfRule>
    <cfRule type="cellIs" priority="49" dxfId="260" operator="equal" stopIfTrue="1">
      <formula>AE17</formula>
    </cfRule>
  </conditionalFormatting>
  <conditionalFormatting sqref="AE17:AE22">
    <cfRule type="cellIs" priority="50" dxfId="258" operator="greaterThan" stopIfTrue="1">
      <formula>AG17</formula>
    </cfRule>
    <cfRule type="cellIs" priority="51" dxfId="259" operator="lessThan" stopIfTrue="1">
      <formula>AG17</formula>
    </cfRule>
    <cfRule type="cellIs" priority="52" dxfId="260" operator="equal" stopIfTrue="1">
      <formula>AG17</formula>
    </cfRule>
  </conditionalFormatting>
  <conditionalFormatting sqref="AG23">
    <cfRule type="cellIs" priority="41" dxfId="258" operator="lessThan" stopIfTrue="1">
      <formula>AE23</formula>
    </cfRule>
    <cfRule type="cellIs" priority="42" dxfId="259" operator="greaterThan" stopIfTrue="1">
      <formula>AE23</formula>
    </cfRule>
    <cfRule type="cellIs" priority="43" dxfId="260" operator="equal" stopIfTrue="1">
      <formula>AE23</formula>
    </cfRule>
  </conditionalFormatting>
  <conditionalFormatting sqref="AE23">
    <cfRule type="cellIs" priority="44" dxfId="258" operator="greaterThan" stopIfTrue="1">
      <formula>AG23</formula>
    </cfRule>
    <cfRule type="cellIs" priority="45" dxfId="259" operator="lessThan" stopIfTrue="1">
      <formula>AG23</formula>
    </cfRule>
    <cfRule type="cellIs" priority="46" dxfId="260" operator="equal" stopIfTrue="1">
      <formula>AG23</formula>
    </cfRule>
  </conditionalFormatting>
  <conditionalFormatting sqref="AG29:AG34">
    <cfRule type="cellIs" priority="35" dxfId="258" operator="lessThan" stopIfTrue="1">
      <formula>AE29</formula>
    </cfRule>
    <cfRule type="cellIs" priority="36" dxfId="259" operator="greaterThan" stopIfTrue="1">
      <formula>AE29</formula>
    </cfRule>
    <cfRule type="cellIs" priority="37" dxfId="260" operator="equal" stopIfTrue="1">
      <formula>AE29</formula>
    </cfRule>
  </conditionalFormatting>
  <conditionalFormatting sqref="AE29:AE34">
    <cfRule type="cellIs" priority="38" dxfId="258" operator="greaterThan" stopIfTrue="1">
      <formula>AG29</formula>
    </cfRule>
    <cfRule type="cellIs" priority="39" dxfId="259" operator="lessThan" stopIfTrue="1">
      <formula>AG29</formula>
    </cfRule>
    <cfRule type="cellIs" priority="40" dxfId="260" operator="equal" stopIfTrue="1">
      <formula>AG29</formula>
    </cfRule>
  </conditionalFormatting>
  <conditionalFormatting sqref="AG35">
    <cfRule type="cellIs" priority="29" dxfId="258" operator="lessThan" stopIfTrue="1">
      <formula>AE35</formula>
    </cfRule>
    <cfRule type="cellIs" priority="30" dxfId="259" operator="greaterThan" stopIfTrue="1">
      <formula>AE35</formula>
    </cfRule>
    <cfRule type="cellIs" priority="31" dxfId="260" operator="equal" stopIfTrue="1">
      <formula>AE35</formula>
    </cfRule>
  </conditionalFormatting>
  <conditionalFormatting sqref="AE35">
    <cfRule type="cellIs" priority="32" dxfId="258" operator="greaterThan" stopIfTrue="1">
      <formula>AG35</formula>
    </cfRule>
    <cfRule type="cellIs" priority="33" dxfId="259" operator="lessThan" stopIfTrue="1">
      <formula>AG35</formula>
    </cfRule>
    <cfRule type="cellIs" priority="34" dxfId="260" operator="equal" stopIfTrue="1">
      <formula>AG35</formula>
    </cfRule>
  </conditionalFormatting>
  <conditionalFormatting sqref="AG40:AG45">
    <cfRule type="cellIs" priority="23" dxfId="258" operator="lessThan" stopIfTrue="1">
      <formula>AE40</formula>
    </cfRule>
    <cfRule type="cellIs" priority="24" dxfId="259" operator="greaterThan" stopIfTrue="1">
      <formula>AE40</formula>
    </cfRule>
    <cfRule type="cellIs" priority="25" dxfId="260" operator="equal" stopIfTrue="1">
      <formula>AE40</formula>
    </cfRule>
  </conditionalFormatting>
  <conditionalFormatting sqref="AE40:AE45">
    <cfRule type="cellIs" priority="26" dxfId="258" operator="greaterThan" stopIfTrue="1">
      <formula>AG40</formula>
    </cfRule>
    <cfRule type="cellIs" priority="27" dxfId="259" operator="lessThan" stopIfTrue="1">
      <formula>AG40</formula>
    </cfRule>
    <cfRule type="cellIs" priority="28" dxfId="260" operator="equal" stopIfTrue="1">
      <formula>AG40</formula>
    </cfRule>
  </conditionalFormatting>
  <conditionalFormatting sqref="AG46">
    <cfRule type="cellIs" priority="17" dxfId="258" operator="lessThan" stopIfTrue="1">
      <formula>AE46</formula>
    </cfRule>
    <cfRule type="cellIs" priority="18" dxfId="259" operator="greaterThan" stopIfTrue="1">
      <formula>AE46</formula>
    </cfRule>
    <cfRule type="cellIs" priority="19" dxfId="260" operator="equal" stopIfTrue="1">
      <formula>AE46</formula>
    </cfRule>
  </conditionalFormatting>
  <conditionalFormatting sqref="AE46">
    <cfRule type="cellIs" priority="20" dxfId="258" operator="greaterThan" stopIfTrue="1">
      <formula>AG46</formula>
    </cfRule>
    <cfRule type="cellIs" priority="21" dxfId="259" operator="lessThan" stopIfTrue="1">
      <formula>AG46</formula>
    </cfRule>
    <cfRule type="cellIs" priority="22" dxfId="260" operator="equal" stopIfTrue="1">
      <formula>AG46</formula>
    </cfRule>
  </conditionalFormatting>
  <conditionalFormatting sqref="AE11">
    <cfRule type="cellIs" priority="7" dxfId="258" operator="greaterThanOrEqual" stopIfTrue="1">
      <formula>AG11</formula>
    </cfRule>
    <cfRule type="cellIs" priority="8" dxfId="259" operator="lessThanOrEqual" stopIfTrue="1">
      <formula>AG11</formula>
    </cfRule>
  </conditionalFormatting>
  <conditionalFormatting sqref="AG11">
    <cfRule type="cellIs" priority="9" dxfId="258" operator="lessThanOrEqual" stopIfTrue="1">
      <formula>AE11</formula>
    </cfRule>
    <cfRule type="cellIs" priority="10" dxfId="259" operator="greaterThanOrEqual" stopIfTrue="1">
      <formula>AE11</formula>
    </cfRule>
  </conditionalFormatting>
  <conditionalFormatting sqref="AG4:AG5">
    <cfRule type="cellIs" priority="11" dxfId="258" operator="lessThan" stopIfTrue="1">
      <formula>AE4</formula>
    </cfRule>
    <cfRule type="cellIs" priority="12" dxfId="259" operator="greaterThan" stopIfTrue="1">
      <formula>AE4</formula>
    </cfRule>
    <cfRule type="cellIs" priority="13" dxfId="260" operator="equal" stopIfTrue="1">
      <formula>AE4</formula>
    </cfRule>
  </conditionalFormatting>
  <conditionalFormatting sqref="AE4:AE5">
    <cfRule type="cellIs" priority="14" dxfId="258" operator="greaterThan" stopIfTrue="1">
      <formula>AG4</formula>
    </cfRule>
    <cfRule type="cellIs" priority="15" dxfId="259" operator="lessThan" stopIfTrue="1">
      <formula>AG4</formula>
    </cfRule>
    <cfRule type="cellIs" priority="16" dxfId="260" operator="equal" stopIfTrue="1">
      <formula>AG4</formula>
    </cfRule>
  </conditionalFormatting>
  <conditionalFormatting sqref="AG6:AG10">
    <cfRule type="cellIs" priority="1" dxfId="258" operator="lessThan" stopIfTrue="1">
      <formula>AE6</formula>
    </cfRule>
    <cfRule type="cellIs" priority="2" dxfId="259" operator="greaterThan" stopIfTrue="1">
      <formula>AE6</formula>
    </cfRule>
    <cfRule type="cellIs" priority="3" dxfId="260" operator="equal" stopIfTrue="1">
      <formula>AE6</formula>
    </cfRule>
  </conditionalFormatting>
  <conditionalFormatting sqref="AE6:AE10">
    <cfRule type="cellIs" priority="4" dxfId="258" operator="greaterThan" stopIfTrue="1">
      <formula>AG6</formula>
    </cfRule>
    <cfRule type="cellIs" priority="5" dxfId="259" operator="lessThan" stopIfTrue="1">
      <formula>AG6</formula>
    </cfRule>
    <cfRule type="cellIs" priority="6" dxfId="260" operator="equal" stopIfTrue="1">
      <formula>AG6</formula>
    </cfRule>
  </conditionalFormatting>
  <printOptions horizontalCentered="1"/>
  <pageMargins left="0.3937007874015748" right="0.3937007874015748" top="0.984251968503937" bottom="0.5511811023622047" header="0.5118110236220472" footer="0.5118110236220472"/>
  <pageSetup cellComments="asDisplayed" horizontalDpi="300" verticalDpi="300" orientation="landscape" paperSize="8" r:id="rId4"/>
  <headerFooter alignWithMargins="0">
    <oddHeader>&amp;C２０２３年小金原地区近隣大会Ａ戦組み合わせ表</oddHeader>
  </headerFooter>
  <rowBreaks count="1" manualBreakCount="1">
    <brk id="37" max="36" man="1"/>
  </rowBreaks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BM61"/>
  <sheetViews>
    <sheetView zoomScaleSheetLayoutView="100" workbookViewId="0" topLeftCell="A13">
      <selection activeCell="N31" sqref="N31"/>
    </sheetView>
  </sheetViews>
  <sheetFormatPr defaultColWidth="9.00390625" defaultRowHeight="19.5" customHeight="1"/>
  <cols>
    <col min="1" max="1" width="15.125" style="3" customWidth="1"/>
    <col min="2" max="5" width="2.625" style="3" customWidth="1"/>
    <col min="6" max="6" width="2.875" style="3" customWidth="1"/>
    <col min="7" max="33" width="2.625" style="3" customWidth="1"/>
    <col min="34" max="46" width="3.625" style="3" customWidth="1"/>
    <col min="47" max="47" width="12.875" style="3" customWidth="1"/>
    <col min="48" max="48" width="4.625" style="3" customWidth="1"/>
    <col min="49" max="49" width="4.375" style="3" customWidth="1"/>
    <col min="50" max="50" width="4.25390625" style="3" customWidth="1"/>
    <col min="51" max="51" width="4.75390625" style="3" customWidth="1"/>
    <col min="52" max="52" width="5.625" style="3" customWidth="1"/>
    <col min="53" max="53" width="11.375" style="3" customWidth="1"/>
    <col min="54" max="54" width="5.625" style="3" customWidth="1"/>
    <col min="55" max="55" width="4.25390625" style="3" customWidth="1"/>
    <col min="56" max="56" width="4.875" style="3" customWidth="1"/>
    <col min="57" max="57" width="3.00390625" style="3" customWidth="1"/>
    <col min="58" max="59" width="4.875" style="3" customWidth="1"/>
    <col min="60" max="60" width="11.875" style="3" customWidth="1"/>
    <col min="61" max="61" width="3.75390625" style="3" customWidth="1"/>
    <col min="62" max="62" width="3.00390625" style="3" customWidth="1"/>
    <col min="63" max="63" width="4.50390625" style="3" customWidth="1"/>
    <col min="64" max="64" width="15.00390625" style="3" customWidth="1"/>
    <col min="65" max="65" width="6.00390625" style="3" customWidth="1"/>
    <col min="66" max="66" width="4.375" style="3" customWidth="1"/>
    <col min="67" max="67" width="4.75390625" style="3" customWidth="1"/>
    <col min="68" max="68" width="17.125" style="3" customWidth="1"/>
    <col min="69" max="16384" width="9.00390625" style="3" customWidth="1"/>
  </cols>
  <sheetData>
    <row r="1" spans="1:47" ht="19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</row>
    <row r="2" spans="1:47" ht="19.5" customHeight="1">
      <c r="A2" s="4" t="s">
        <v>48</v>
      </c>
      <c r="B2" s="73" t="s">
        <v>53</v>
      </c>
      <c r="C2" s="51"/>
      <c r="D2" s="51"/>
      <c r="E2" s="51"/>
      <c r="F2" s="51"/>
      <c r="G2" s="171" t="str">
        <f>"１日"&amp;ROUND((BJ12-BI12)/'戦績'!N42,1)&amp;"試合"</f>
        <v>１日0試合</v>
      </c>
      <c r="H2" s="171"/>
      <c r="I2" s="171"/>
      <c r="J2" s="171"/>
      <c r="K2" s="163" t="s">
        <v>23</v>
      </c>
      <c r="L2" s="163"/>
      <c r="M2" s="163"/>
      <c r="N2" s="163"/>
      <c r="O2" s="165" t="str">
        <f>IF(C61&gt;C60,+BA4,"")</f>
        <v>大橋みどりファイターズA</v>
      </c>
      <c r="P2" s="165"/>
      <c r="Q2" s="165"/>
      <c r="R2" s="165"/>
      <c r="S2" s="165"/>
      <c r="T2" s="52"/>
      <c r="U2" s="163" t="s">
        <v>24</v>
      </c>
      <c r="V2" s="163"/>
      <c r="W2" s="163"/>
      <c r="X2" s="163"/>
      <c r="Y2" s="165" t="str">
        <f>IF(C61&gt;C60,BA5,"")</f>
        <v>八木南クラブ</v>
      </c>
      <c r="Z2" s="165"/>
      <c r="AA2" s="165"/>
      <c r="AB2" s="165"/>
      <c r="AC2" s="165"/>
      <c r="AD2" s="165"/>
      <c r="AE2" s="1"/>
      <c r="AF2" s="54" t="s">
        <v>26</v>
      </c>
      <c r="AG2" s="1"/>
      <c r="AH2" s="1"/>
      <c r="AI2" s="1"/>
      <c r="AJ2" s="169">
        <f>+BI12/(MAX(AT4:AT11)*(MAX(AT4:AT11)-1)/2)</f>
        <v>0.6</v>
      </c>
      <c r="AK2" s="169"/>
      <c r="AL2" s="60">
        <f>IF(AL1=AM1,"","計算間違い")</f>
      </c>
      <c r="AM2" s="1"/>
      <c r="AN2" s="1"/>
      <c r="AO2" s="1"/>
      <c r="AP2" s="60">
        <f>IF(AN1/2=TRUNC(AN1/2,0),"","計算間違い")</f>
      </c>
      <c r="AQ2" s="1"/>
      <c r="AR2" s="1"/>
      <c r="AS2" s="1"/>
      <c r="AT2" s="1"/>
      <c r="AU2" s="1"/>
    </row>
    <row r="3" spans="1:61" ht="19.5" customHeight="1">
      <c r="A3" s="5"/>
      <c r="B3" s="164" t="str">
        <f>+A4</f>
        <v>大橋みどりファイターズA</v>
      </c>
      <c r="C3" s="164"/>
      <c r="D3" s="164"/>
      <c r="E3" s="164"/>
      <c r="F3" s="164" t="str">
        <f>+A5</f>
        <v>松戸スラッガーズ</v>
      </c>
      <c r="G3" s="164"/>
      <c r="H3" s="164"/>
      <c r="I3" s="164"/>
      <c r="J3" s="164" t="str">
        <f>+A6</f>
        <v>双葉</v>
      </c>
      <c r="K3" s="164"/>
      <c r="L3" s="164"/>
      <c r="M3" s="164"/>
      <c r="N3" s="164" t="str">
        <f>+A7</f>
        <v>酒井根東グリーンズ</v>
      </c>
      <c r="O3" s="164"/>
      <c r="P3" s="164"/>
      <c r="Q3" s="164"/>
      <c r="R3" s="164" t="str">
        <f>+A8</f>
        <v>八木南クラブ</v>
      </c>
      <c r="S3" s="164"/>
      <c r="T3" s="164"/>
      <c r="U3" s="164"/>
      <c r="V3" s="164"/>
      <c r="W3" s="164"/>
      <c r="X3" s="164"/>
      <c r="Y3" s="164"/>
      <c r="Z3" s="164"/>
      <c r="AA3" s="164"/>
      <c r="AB3" s="164"/>
      <c r="AC3" s="164"/>
      <c r="AD3" s="164"/>
      <c r="AE3" s="164"/>
      <c r="AF3" s="164"/>
      <c r="AG3" s="164"/>
      <c r="AH3" s="25" t="s">
        <v>4</v>
      </c>
      <c r="AI3" s="25" t="s">
        <v>5</v>
      </c>
      <c r="AJ3" s="25" t="s">
        <v>6</v>
      </c>
      <c r="AK3" s="26" t="s">
        <v>11</v>
      </c>
      <c r="AL3" s="27" t="s">
        <v>12</v>
      </c>
      <c r="AM3" s="28" t="s">
        <v>13</v>
      </c>
      <c r="AN3" s="29" t="s">
        <v>7</v>
      </c>
      <c r="AO3" s="25" t="s">
        <v>8</v>
      </c>
      <c r="AP3" s="25" t="s">
        <v>9</v>
      </c>
      <c r="AQ3" s="25" t="s">
        <v>10</v>
      </c>
      <c r="AR3" s="1"/>
      <c r="AS3" s="1"/>
      <c r="AU3" s="3" t="s">
        <v>17</v>
      </c>
      <c r="AV3" s="3" t="s">
        <v>18</v>
      </c>
      <c r="BH3" s="3" t="s">
        <v>17</v>
      </c>
      <c r="BI3" s="3" t="s">
        <v>19</v>
      </c>
    </row>
    <row r="4" spans="1:64" ht="19.5" customHeight="1">
      <c r="A4" s="79" t="s">
        <v>98</v>
      </c>
      <c r="B4" s="36"/>
      <c r="C4" s="37"/>
      <c r="D4" s="37"/>
      <c r="E4" s="38"/>
      <c r="F4" s="36"/>
      <c r="G4" s="37">
        <f>IF(E5="","",E5)</f>
        <v>4</v>
      </c>
      <c r="H4" s="37"/>
      <c r="I4" s="38">
        <f>IF(C5="","",C5)</f>
        <v>0</v>
      </c>
      <c r="J4" s="36"/>
      <c r="K4" s="37">
        <f>IF(E6="","",E6)</f>
        <v>19</v>
      </c>
      <c r="L4" s="37"/>
      <c r="M4" s="38">
        <f>IF(C6="","",C6)</f>
        <v>0</v>
      </c>
      <c r="N4" s="36"/>
      <c r="O4" s="37">
        <f>IF(E7="","",E7)</f>
        <v>7</v>
      </c>
      <c r="P4" s="37"/>
      <c r="Q4" s="38">
        <f>IF(C7="","",C7)</f>
        <v>6</v>
      </c>
      <c r="R4" s="36"/>
      <c r="S4" s="37">
        <f>IF(E8="","",E8)</f>
        <v>4</v>
      </c>
      <c r="T4" s="37"/>
      <c r="U4" s="38">
        <f>IF(C8="","",C8)</f>
        <v>2</v>
      </c>
      <c r="V4" s="36"/>
      <c r="W4" s="37">
        <f>IF(E9="","",E9)</f>
      </c>
      <c r="X4" s="37"/>
      <c r="Y4" s="38">
        <f>IF(C9="","",C9)</f>
      </c>
      <c r="Z4" s="36"/>
      <c r="AA4" s="37">
        <f>IF(E10="","",E10)</f>
      </c>
      <c r="AB4" s="37"/>
      <c r="AC4" s="38">
        <f>IF(C10="","",C10)</f>
      </c>
      <c r="AD4" s="36"/>
      <c r="AE4" s="37">
        <f>IF(E11="","",E11)</f>
      </c>
      <c r="AF4" s="37"/>
      <c r="AG4" s="38">
        <f>IF(C11="","",C11)</f>
      </c>
      <c r="AH4" s="30">
        <f>IF(C4&gt;E4,1,0)+IF(G4&gt;I4,1,0)+IF(K4&gt;M4,1,0)+IF(O4&gt;Q4,1,0)+IF(S4&gt;U4,1,0)+IF(W4&gt;Y4,1,0)+IF(AA4&gt;AC4,1,0)+IF(AE4&gt;AG4,1,0)</f>
        <v>4</v>
      </c>
      <c r="AI4" s="30">
        <f>IF(C4&lt;E4,1,0)+IF(G4&lt;I4,1,0)+IF(K4&lt;M4,1,0)+IF(O4&lt;Q4,1,0)+IF(S4&lt;U4,1,0)+IF(W4&lt;Y4,1,0)+IF(AA4&lt;AC4,1,0)+IF(AE4&lt;AG4,1,0)</f>
        <v>0</v>
      </c>
      <c r="AJ4" s="30">
        <f>IF(AND(ISNUMBER(C4),C4=E4),1,0)+IF(AND(ISNUMBER(G4),G4=I4),1,0)+IF(AND(ISNUMBER(K4),K4=M4),1,)+IF(AND(ISNUMBER(O4),O4=Q4),1,0)+IF(AND(ISNUMBER(S4),S4=U4),1,0)+IF(AND(ISNUMBER(W4),W4=Y4),1,0)+IF(AND(ISNUMBER(AA4),AA4=AC4),1,0)+IF(AND(ISNUMBER(AE4),AE4=AG4),1,0)</f>
        <v>0</v>
      </c>
      <c r="AK4" s="31">
        <f>AH4*2</f>
        <v>8</v>
      </c>
      <c r="AL4" s="32">
        <f>AI4*0</f>
        <v>0</v>
      </c>
      <c r="AM4" s="33">
        <f>AJ4*1</f>
        <v>0</v>
      </c>
      <c r="AN4" s="34">
        <f>AK4+AL4+AM4</f>
        <v>8</v>
      </c>
      <c r="AO4" s="30">
        <f>IF(ISNUMBER(G4),G4,0)+IF(ISNUMBER(K4),K4,0)+IF(ISNUMBER(O4),O4,0)+IF(ISNUMBER(AA4),AA4,0)+IF(ISNUMBER(AE4),AE4,0)+IF(ISNUMBER(S4),S4,0)+IF(ISNUMBER(W4),W4,0)+IF(ISNUMBER(C4),C4,0)</f>
        <v>34</v>
      </c>
      <c r="AP4" s="30">
        <f>IF(ISNUMBER(I4),I4,0)+IF(ISNUMBER(M4),M4,0)+IF(ISNUMBER(Q4),Q4,0)+IF(ISNUMBER(AC4),AC4,0)+IF(ISNUMBER(AG4),AG4,0)+IF(ISNUMBER(U4),U4,0)+IF(ISNUMBER(Y4),Y4,0)+IF(ISNUMBER(E4),E4,0)</f>
        <v>8</v>
      </c>
      <c r="AQ4" s="30">
        <f>AO4-AP4</f>
        <v>26</v>
      </c>
      <c r="AR4" s="1"/>
      <c r="AS4" s="1"/>
      <c r="AT4" s="42">
        <f>AY4+COUNTIF(AY3:AY$3,AY4)</f>
        <v>1</v>
      </c>
      <c r="AU4" s="44" t="str">
        <f>+A4</f>
        <v>大橋みどりファイターズA</v>
      </c>
      <c r="AV4" s="42">
        <f>+AN4</f>
        <v>8</v>
      </c>
      <c r="AW4" s="42">
        <f>+AH4</f>
        <v>4</v>
      </c>
      <c r="AX4" s="42">
        <f>+AH4+AI4+AJ4</f>
        <v>4</v>
      </c>
      <c r="AY4" s="42">
        <f>RANK(AV4,AV$4:AV$8)</f>
        <v>1</v>
      </c>
      <c r="AZ4" s="43">
        <f>VLOOKUP(ROW(AX1),$AT$4:$AZ$8,6,FALSE)</f>
        <v>1</v>
      </c>
      <c r="BA4" s="45" t="str">
        <f>VLOOKUP(ROW(AX1),$AT$4:$AY$8,2,FALSE)</f>
        <v>大橋みどりファイターズA</v>
      </c>
      <c r="BB4" s="45">
        <f>VLOOKUP(ROW(AX1),$AT$4:$AY$8,3,FALSE)</f>
        <v>8</v>
      </c>
      <c r="BC4" s="45">
        <f>VLOOKUP(ROW(AX1),$AT$4:$AY$8,4,FALSE)</f>
        <v>4</v>
      </c>
      <c r="BD4" s="45">
        <f>VLOOKUP(ROW(AX1),$AT$4:$AY$8,5,FALSE)</f>
        <v>4</v>
      </c>
      <c r="BE4" s="55"/>
      <c r="BG4" s="42">
        <f>BJ4+COUNTIF(BJ$3:BJ3,BJ4)</f>
        <v>1</v>
      </c>
      <c r="BH4" s="44" t="str">
        <f>+AU4</f>
        <v>大橋みどりファイターズA</v>
      </c>
      <c r="BI4" s="42">
        <f>COUNT(B4:AC4)/2</f>
        <v>4</v>
      </c>
      <c r="BJ4" s="42">
        <f>RANK(BI4,BI$4:BI$8)</f>
        <v>1</v>
      </c>
      <c r="BK4" s="43">
        <f>VLOOKUP(ROW(AX1),$BG$4:$BJ$8,4,FALSE)</f>
        <v>1</v>
      </c>
      <c r="BL4" s="45" t="str">
        <f>VLOOKUP(ROW(AX1),$BG$4:$BJ$8,2,FALSE)</f>
        <v>大橋みどりファイターズA</v>
      </c>
    </row>
    <row r="5" spans="1:64" ht="19.5" customHeight="1">
      <c r="A5" s="79" t="s">
        <v>84</v>
      </c>
      <c r="B5" s="36"/>
      <c r="C5" s="37">
        <v>0</v>
      </c>
      <c r="D5" s="37"/>
      <c r="E5" s="38">
        <v>4</v>
      </c>
      <c r="F5" s="36"/>
      <c r="G5" s="37"/>
      <c r="H5" s="37"/>
      <c r="I5" s="38"/>
      <c r="J5" s="36"/>
      <c r="K5" s="37">
        <f>IF(I6="","",I6)</f>
      </c>
      <c r="L5" s="37"/>
      <c r="M5" s="38">
        <f>IF(G6="","",G6)</f>
      </c>
      <c r="N5" s="36"/>
      <c r="O5" s="37">
        <f>IF(I7="","",I7)</f>
      </c>
      <c r="P5" s="37"/>
      <c r="Q5" s="38">
        <f>IF(G7="","",G7)</f>
      </c>
      <c r="R5" s="36"/>
      <c r="S5" s="37">
        <f>IF(I8="","",I8)</f>
        <v>5</v>
      </c>
      <c r="T5" s="37"/>
      <c r="U5" s="38">
        <f>IF(G8="","",G8)</f>
        <v>5</v>
      </c>
      <c r="V5" s="36"/>
      <c r="W5" s="37">
        <f>IF(I9="","",I9)</f>
      </c>
      <c r="X5" s="37"/>
      <c r="Y5" s="38">
        <f>IF(G9="","",G9)</f>
      </c>
      <c r="Z5" s="36"/>
      <c r="AA5" s="37">
        <f>IF(I10="","",I10)</f>
      </c>
      <c r="AB5" s="37"/>
      <c r="AC5" s="38">
        <f>IF(G10="","",G10)</f>
      </c>
      <c r="AD5" s="36"/>
      <c r="AE5" s="37">
        <f>IF(I11="","",I11)</f>
      </c>
      <c r="AF5" s="37"/>
      <c r="AG5" s="38">
        <f>IF(G11="","",G11)</f>
      </c>
      <c r="AH5" s="30">
        <f aca="true" t="shared" si="0" ref="AH5:AH10">IF(C5&gt;E5,1,0)+IF(G5&gt;I5,1,0)+IF(K5&gt;M5,1,0)+IF(O5&gt;Q5,1,0)+IF(S5&gt;U5,1,0)+IF(W5&gt;Y5,1,0)+IF(AA5&gt;AC5,1,0)+IF(AE5&gt;AG5,1,0)</f>
        <v>0</v>
      </c>
      <c r="AI5" s="30">
        <f aca="true" t="shared" si="1" ref="AI5:AI10">IF(C5&lt;E5,1,0)+IF(G5&lt;I5,1,0)+IF(K5&lt;M5,1,0)+IF(O5&lt;Q5,1,0)+IF(S5&lt;U5,1,0)+IF(W5&lt;Y5,1,0)+IF(AA5&lt;AC5,1,0)+IF(AE5&lt;AG5,1,0)</f>
        <v>1</v>
      </c>
      <c r="AJ5" s="30">
        <f aca="true" t="shared" si="2" ref="AJ5:AJ10">IF(AND(ISNUMBER(C5),C5=E5),1,0)+IF(AND(ISNUMBER(G5),G5=I5),1,0)+IF(AND(ISNUMBER(K5),K5=M5),1,)+IF(AND(ISNUMBER(O5),O5=Q5),1,0)+IF(AND(ISNUMBER(S5),S5=U5),1,0)+IF(AND(ISNUMBER(W5),W5=Y5),1,0)+IF(AND(ISNUMBER(AA5),AA5=AC5),1,0)+IF(AND(ISNUMBER(AE5),AE5=AG5),1,0)</f>
        <v>1</v>
      </c>
      <c r="AK5" s="31">
        <f aca="true" t="shared" si="3" ref="AK5:AK10">AH5*2</f>
        <v>0</v>
      </c>
      <c r="AL5" s="32">
        <f aca="true" t="shared" si="4" ref="AL5:AL10">AI5*0</f>
        <v>0</v>
      </c>
      <c r="AM5" s="33">
        <f aca="true" t="shared" si="5" ref="AM5:AM10">AJ5*1</f>
        <v>1</v>
      </c>
      <c r="AN5" s="34">
        <f aca="true" t="shared" si="6" ref="AN5:AN10">AK5+AL5+AM5</f>
        <v>1</v>
      </c>
      <c r="AO5" s="30">
        <f aca="true" t="shared" si="7" ref="AO5:AO10">IF(ISNUMBER(G5),G5,0)+IF(ISNUMBER(K5),K5,0)+IF(ISNUMBER(O5),O5,0)+IF(ISNUMBER(AA5),AA5,0)+IF(ISNUMBER(AE5),AE5,0)+IF(ISNUMBER(S5),S5,0)+IF(ISNUMBER(W5),W5,0)+IF(ISNUMBER(C5),C5,0)</f>
        <v>5</v>
      </c>
      <c r="AP5" s="30">
        <f aca="true" t="shared" si="8" ref="AP5:AP10">IF(ISNUMBER(I5),I5,0)+IF(ISNUMBER(M5),M5,0)+IF(ISNUMBER(Q5),Q5,0)+IF(ISNUMBER(AC5),AC5,0)+IF(ISNUMBER(AG5),AG5,0)+IF(ISNUMBER(U5),U5,0)+IF(ISNUMBER(Y5),Y5,0)+IF(ISNUMBER(E5),E5,0)</f>
        <v>9</v>
      </c>
      <c r="AQ5" s="25">
        <f aca="true" t="shared" si="9" ref="AQ5:AQ10">AO5-AP5</f>
        <v>-4</v>
      </c>
      <c r="AR5" s="1"/>
      <c r="AS5" s="1"/>
      <c r="AT5" s="42">
        <f>AY5+COUNTIF(AY$3:AY4,AY5)</f>
        <v>3</v>
      </c>
      <c r="AU5" s="44" t="str">
        <f>+A5</f>
        <v>松戸スラッガーズ</v>
      </c>
      <c r="AV5" s="42">
        <f>+AN5</f>
        <v>1</v>
      </c>
      <c r="AW5" s="42">
        <f>+AH5</f>
        <v>0</v>
      </c>
      <c r="AX5" s="42">
        <f>+AH5+AI5+AJ5</f>
        <v>2</v>
      </c>
      <c r="AY5" s="42">
        <f>RANK(AV5,AV$4:AV$8)</f>
        <v>3</v>
      </c>
      <c r="AZ5" s="43">
        <f>VLOOKUP(ROW(AX2),$AT$4:$AZ$8,6,FALSE)</f>
        <v>2</v>
      </c>
      <c r="BA5" s="45" t="str">
        <f>VLOOKUP(ROW(AX2),$AT$4:$AY$8,2,FALSE)</f>
        <v>八木南クラブ</v>
      </c>
      <c r="BB5" s="45">
        <f>VLOOKUP(ROW(AX2),$AT$4:$AY$8,3,FALSE)</f>
        <v>3</v>
      </c>
      <c r="BC5" s="45">
        <f>VLOOKUP(ROW(AX2),$AT$4:$AY$8,4,FALSE)</f>
        <v>1</v>
      </c>
      <c r="BD5" s="45">
        <f>VLOOKUP(ROW(AX2),$AT$4:$AY$8,5,FALSE)</f>
        <v>3</v>
      </c>
      <c r="BE5" s="55"/>
      <c r="BG5" s="42">
        <f>BJ5+COUNTIF(BJ$3:BJ4,BJ5)</f>
        <v>3</v>
      </c>
      <c r="BH5" s="44" t="str">
        <f>+AU5</f>
        <v>松戸スラッガーズ</v>
      </c>
      <c r="BI5" s="42">
        <f>COUNT(B5:AC5)/2</f>
        <v>2</v>
      </c>
      <c r="BJ5" s="42">
        <f>RANK(BI5,BI$4:BI$8)</f>
        <v>3</v>
      </c>
      <c r="BK5" s="43">
        <f>VLOOKUP(ROW(AX2),$BG$4:$BJ$8,4,FALSE)</f>
        <v>2</v>
      </c>
      <c r="BL5" s="45" t="str">
        <f>VLOOKUP(ROW(AX2),$BG$4:$BJ$8,2,FALSE)</f>
        <v>八木南クラブ</v>
      </c>
    </row>
    <row r="6" spans="1:64" ht="19.5" customHeight="1">
      <c r="A6" s="79" t="s">
        <v>90</v>
      </c>
      <c r="B6" s="36"/>
      <c r="C6" s="37">
        <v>0</v>
      </c>
      <c r="D6" s="37"/>
      <c r="E6" s="38">
        <v>19</v>
      </c>
      <c r="F6" s="36"/>
      <c r="G6" s="37"/>
      <c r="H6" s="37"/>
      <c r="I6" s="38"/>
      <c r="J6" s="36"/>
      <c r="K6" s="37"/>
      <c r="L6" s="37"/>
      <c r="M6" s="38"/>
      <c r="N6" s="36"/>
      <c r="O6" s="37">
        <f>IF(M7="","",M7)</f>
      </c>
      <c r="P6" s="37"/>
      <c r="Q6" s="38">
        <f>IF(K7="","",K7)</f>
      </c>
      <c r="R6" s="36"/>
      <c r="S6" s="37">
        <f>IF(M8="","",M8)</f>
        <v>1</v>
      </c>
      <c r="T6" s="37"/>
      <c r="U6" s="38">
        <f>IF(K8="","",K8)</f>
        <v>15</v>
      </c>
      <c r="V6" s="36"/>
      <c r="W6" s="37">
        <f>IF(M9="","",M9)</f>
      </c>
      <c r="X6" s="37"/>
      <c r="Y6" s="38">
        <f>IF(K9="","",K9)</f>
      </c>
      <c r="Z6" s="36"/>
      <c r="AA6" s="37">
        <f>IF(M10="","",M10)</f>
      </c>
      <c r="AB6" s="37"/>
      <c r="AC6" s="38">
        <f>IF(K10="","",K10)</f>
      </c>
      <c r="AD6" s="36"/>
      <c r="AE6" s="37">
        <f>IF(M11="","",M11)</f>
      </c>
      <c r="AF6" s="37"/>
      <c r="AG6" s="38">
        <f>IF(K11="","",K11)</f>
      </c>
      <c r="AH6" s="30">
        <f t="shared" si="0"/>
        <v>0</v>
      </c>
      <c r="AI6" s="30">
        <f t="shared" si="1"/>
        <v>2</v>
      </c>
      <c r="AJ6" s="30">
        <f t="shared" si="2"/>
        <v>0</v>
      </c>
      <c r="AK6" s="31">
        <f t="shared" si="3"/>
        <v>0</v>
      </c>
      <c r="AL6" s="32">
        <f t="shared" si="4"/>
        <v>0</v>
      </c>
      <c r="AM6" s="33">
        <f t="shared" si="5"/>
        <v>0</v>
      </c>
      <c r="AN6" s="34">
        <f t="shared" si="6"/>
        <v>0</v>
      </c>
      <c r="AO6" s="30">
        <f t="shared" si="7"/>
        <v>1</v>
      </c>
      <c r="AP6" s="30">
        <f t="shared" si="8"/>
        <v>34</v>
      </c>
      <c r="AQ6" s="35">
        <f t="shared" si="9"/>
        <v>-33</v>
      </c>
      <c r="AR6" s="1"/>
      <c r="AS6" s="1"/>
      <c r="AT6" s="42">
        <f>AY6+COUNTIF(AY$3:AY5,AY6)</f>
        <v>4</v>
      </c>
      <c r="AU6" s="44" t="str">
        <f>+A6</f>
        <v>双葉</v>
      </c>
      <c r="AV6" s="42">
        <f>+AN6</f>
        <v>0</v>
      </c>
      <c r="AW6" s="42">
        <f>+AH6</f>
        <v>0</v>
      </c>
      <c r="AX6" s="42">
        <f>+AH6+AI6+AJ6</f>
        <v>2</v>
      </c>
      <c r="AY6" s="42">
        <f>RANK(AV6,AV$4:AV$8)</f>
        <v>4</v>
      </c>
      <c r="AZ6" s="43">
        <f>VLOOKUP(ROW(AX3),$AT$4:$AZ$8,6,FALSE)</f>
        <v>3</v>
      </c>
      <c r="BA6" s="45" t="str">
        <f>VLOOKUP(ROW(AX3),$AT$4:$AY$8,2,FALSE)</f>
        <v>松戸スラッガーズ</v>
      </c>
      <c r="BB6" s="45">
        <f>VLOOKUP(ROW(AX3),$AT$4:$AY$8,3,FALSE)</f>
        <v>1</v>
      </c>
      <c r="BC6" s="45">
        <f>VLOOKUP(ROW(AX3),$AT$4:$AY$8,4,FALSE)</f>
        <v>0</v>
      </c>
      <c r="BD6" s="45">
        <f>VLOOKUP(ROW(AX3),$AT$4:$AY$8,5,FALSE)</f>
        <v>2</v>
      </c>
      <c r="BE6" s="55"/>
      <c r="BG6" s="42">
        <f>BJ6+COUNTIF(BJ$3:BJ5,BJ6)</f>
        <v>4</v>
      </c>
      <c r="BH6" s="44" t="str">
        <f>+AU6</f>
        <v>双葉</v>
      </c>
      <c r="BI6" s="42">
        <f>COUNT(B6:AC6)/2</f>
        <v>2</v>
      </c>
      <c r="BJ6" s="42">
        <f>RANK(BI6,BI$4:BI$8)</f>
        <v>3</v>
      </c>
      <c r="BK6" s="43">
        <f>VLOOKUP(ROW(AX3),$BG$4:$BJ$8,4,FALSE)</f>
        <v>3</v>
      </c>
      <c r="BL6" s="45" t="str">
        <f>VLOOKUP(ROW(AX3),$BG$4:$BJ$8,2,FALSE)</f>
        <v>松戸スラッガーズ</v>
      </c>
    </row>
    <row r="7" spans="1:64" ht="19.5" customHeight="1">
      <c r="A7" s="79" t="s">
        <v>76</v>
      </c>
      <c r="B7" s="37"/>
      <c r="C7" s="37">
        <v>6</v>
      </c>
      <c r="D7" s="37"/>
      <c r="E7" s="38">
        <v>7</v>
      </c>
      <c r="F7" s="36"/>
      <c r="G7" s="37"/>
      <c r="H7" s="37"/>
      <c r="I7" s="38"/>
      <c r="J7" s="36"/>
      <c r="K7" s="37"/>
      <c r="L7" s="37"/>
      <c r="M7" s="38"/>
      <c r="N7" s="36"/>
      <c r="O7" s="37"/>
      <c r="P7" s="37"/>
      <c r="Q7" s="38"/>
      <c r="R7" s="36"/>
      <c r="S7" s="37">
        <f>IF(Q8="","",Q8)</f>
      </c>
      <c r="T7" s="37"/>
      <c r="U7" s="38">
        <f>IF(O8="","",O8)</f>
      </c>
      <c r="V7" s="36"/>
      <c r="W7" s="37">
        <f>IF(Q9="","",Q9)</f>
      </c>
      <c r="X7" s="37"/>
      <c r="Y7" s="38">
        <f>IF(O9="","",O9)</f>
      </c>
      <c r="Z7" s="36"/>
      <c r="AA7" s="37">
        <f>IF(Q10="","",Q10)</f>
      </c>
      <c r="AB7" s="37"/>
      <c r="AC7" s="38">
        <f>IF(O10="","",O10)</f>
      </c>
      <c r="AD7" s="36"/>
      <c r="AE7" s="37">
        <f>IF(Q11="","",Q11)</f>
      </c>
      <c r="AF7" s="37"/>
      <c r="AG7" s="38">
        <f>IF(O11="","",O11)</f>
      </c>
      <c r="AH7" s="30">
        <f t="shared" si="0"/>
        <v>0</v>
      </c>
      <c r="AI7" s="30">
        <f t="shared" si="1"/>
        <v>1</v>
      </c>
      <c r="AJ7" s="30">
        <f t="shared" si="2"/>
        <v>0</v>
      </c>
      <c r="AK7" s="31">
        <f t="shared" si="3"/>
        <v>0</v>
      </c>
      <c r="AL7" s="32">
        <f t="shared" si="4"/>
        <v>0</v>
      </c>
      <c r="AM7" s="33">
        <f t="shared" si="5"/>
        <v>0</v>
      </c>
      <c r="AN7" s="34">
        <f t="shared" si="6"/>
        <v>0</v>
      </c>
      <c r="AO7" s="30">
        <f t="shared" si="7"/>
        <v>6</v>
      </c>
      <c r="AP7" s="30">
        <f t="shared" si="8"/>
        <v>7</v>
      </c>
      <c r="AQ7" s="25">
        <f t="shared" si="9"/>
        <v>-1</v>
      </c>
      <c r="AR7" s="1"/>
      <c r="AS7" s="1"/>
      <c r="AT7" s="42">
        <f>AY7+COUNTIF(AY$3:AY6,AY7)</f>
        <v>5</v>
      </c>
      <c r="AU7" s="44" t="str">
        <f>+A7</f>
        <v>酒井根東グリーンズ</v>
      </c>
      <c r="AV7" s="42">
        <f>+AN7</f>
        <v>0</v>
      </c>
      <c r="AW7" s="42">
        <f>+AH7</f>
        <v>0</v>
      </c>
      <c r="AX7" s="42">
        <f>+AH7+AI7+AJ7</f>
        <v>1</v>
      </c>
      <c r="AY7" s="42">
        <f>RANK(AV7,AV$4:AV$8)</f>
        <v>4</v>
      </c>
      <c r="AZ7" s="43">
        <f>VLOOKUP(ROW(AX4),$AT$4:$AZ$8,6,FALSE)</f>
        <v>4</v>
      </c>
      <c r="BA7" s="45" t="str">
        <f>VLOOKUP(ROW(AX4),$AT$4:$AY$8,2,FALSE)</f>
        <v>双葉</v>
      </c>
      <c r="BB7" s="45">
        <f>VLOOKUP(ROW(AX4),$AT$4:$AY$8,3,FALSE)</f>
        <v>0</v>
      </c>
      <c r="BC7" s="45">
        <f>VLOOKUP(ROW(AX4),$AT$4:$AY$8,4,FALSE)</f>
        <v>0</v>
      </c>
      <c r="BD7" s="45">
        <f>VLOOKUP(ROW(AX4),$AT$4:$AY$8,5,FALSE)</f>
        <v>2</v>
      </c>
      <c r="BE7" s="55"/>
      <c r="BG7" s="42">
        <f>BJ7+COUNTIF(BJ$3:BJ6,BJ7)</f>
        <v>5</v>
      </c>
      <c r="BH7" s="44" t="str">
        <f>+AU7</f>
        <v>酒井根東グリーンズ</v>
      </c>
      <c r="BI7" s="42">
        <f>COUNT(B7:AC7)/2</f>
        <v>1</v>
      </c>
      <c r="BJ7" s="42">
        <f>RANK(BI7,BI$4:BI$8)</f>
        <v>5</v>
      </c>
      <c r="BK7" s="43">
        <f>VLOOKUP(ROW(AX4),$BG$4:$BJ$8,4,FALSE)</f>
        <v>3</v>
      </c>
      <c r="BL7" s="45" t="str">
        <f>VLOOKUP(ROW(AX4),$BG$4:$BJ$8,2,FALSE)</f>
        <v>双葉</v>
      </c>
    </row>
    <row r="8" spans="1:64" ht="19.5" customHeight="1">
      <c r="A8" s="79" t="s">
        <v>78</v>
      </c>
      <c r="B8" s="36"/>
      <c r="C8" s="37">
        <v>2</v>
      </c>
      <c r="D8" s="37"/>
      <c r="E8" s="38">
        <v>4</v>
      </c>
      <c r="F8" s="36"/>
      <c r="G8" s="37">
        <v>5</v>
      </c>
      <c r="H8" s="37"/>
      <c r="I8" s="38">
        <v>5</v>
      </c>
      <c r="J8" s="36"/>
      <c r="K8" s="37">
        <v>15</v>
      </c>
      <c r="L8" s="37"/>
      <c r="M8" s="38">
        <v>1</v>
      </c>
      <c r="N8" s="36"/>
      <c r="O8" s="37"/>
      <c r="P8" s="37"/>
      <c r="Q8" s="38"/>
      <c r="R8" s="36"/>
      <c r="S8" s="37"/>
      <c r="T8" s="37"/>
      <c r="U8" s="38"/>
      <c r="V8" s="36"/>
      <c r="W8" s="37">
        <f>IF(U9="","",U9)</f>
      </c>
      <c r="X8" s="37"/>
      <c r="Y8" s="38">
        <f>IF(S9="","",S9)</f>
      </c>
      <c r="Z8" s="36"/>
      <c r="AA8" s="37">
        <f>IF(U10="","",U10)</f>
      </c>
      <c r="AB8" s="37"/>
      <c r="AC8" s="38">
        <f>IF(S10="","",S10)</f>
      </c>
      <c r="AD8" s="36"/>
      <c r="AE8" s="37">
        <f>IF(U11="","",U11)</f>
      </c>
      <c r="AF8" s="37"/>
      <c r="AG8" s="38">
        <f>IF(S11="","",S11)</f>
      </c>
      <c r="AH8" s="30">
        <f t="shared" si="0"/>
        <v>1</v>
      </c>
      <c r="AI8" s="30">
        <f t="shared" si="1"/>
        <v>1</v>
      </c>
      <c r="AJ8" s="30">
        <f t="shared" si="2"/>
        <v>1</v>
      </c>
      <c r="AK8" s="31">
        <f t="shared" si="3"/>
        <v>2</v>
      </c>
      <c r="AL8" s="32">
        <f t="shared" si="4"/>
        <v>0</v>
      </c>
      <c r="AM8" s="33">
        <f t="shared" si="5"/>
        <v>1</v>
      </c>
      <c r="AN8" s="34">
        <f t="shared" si="6"/>
        <v>3</v>
      </c>
      <c r="AO8" s="30">
        <f t="shared" si="7"/>
        <v>22</v>
      </c>
      <c r="AP8" s="30">
        <f t="shared" si="8"/>
        <v>10</v>
      </c>
      <c r="AQ8" s="25">
        <f t="shared" si="9"/>
        <v>12</v>
      </c>
      <c r="AR8" s="1"/>
      <c r="AS8" s="1"/>
      <c r="AT8" s="42">
        <f>AY8+COUNTIF(AY$3:AY7,AY8)</f>
        <v>2</v>
      </c>
      <c r="AU8" s="44" t="str">
        <f>+A8</f>
        <v>八木南クラブ</v>
      </c>
      <c r="AV8" s="42">
        <f>+AN8</f>
        <v>3</v>
      </c>
      <c r="AW8" s="42">
        <f>+AH8</f>
        <v>1</v>
      </c>
      <c r="AX8" s="42">
        <f>+AH8+AI8+AJ8</f>
        <v>3</v>
      </c>
      <c r="AY8" s="42">
        <f>RANK(AV8,AV$4:AV$8)</f>
        <v>2</v>
      </c>
      <c r="AZ8" s="43">
        <f>VLOOKUP(ROW(AX5),$AT$4:$AZ$8,6,FALSE)</f>
        <v>4</v>
      </c>
      <c r="BA8" s="45" t="str">
        <f>VLOOKUP(ROW(AX5),$AT$4:$AY$8,2,FALSE)</f>
        <v>酒井根東グリーンズ</v>
      </c>
      <c r="BB8" s="45">
        <f>VLOOKUP(ROW(AX5),$AT$4:$AY$8,3,FALSE)</f>
        <v>0</v>
      </c>
      <c r="BC8" s="45">
        <f>VLOOKUP(ROW(AX5),$AT$4:$AY$8,4,FALSE)</f>
        <v>0</v>
      </c>
      <c r="BD8" s="45">
        <f>VLOOKUP(ROW(AX5),$AT$4:$AY$8,5,FALSE)</f>
        <v>1</v>
      </c>
      <c r="BE8" s="55"/>
      <c r="BG8" s="42">
        <f>BJ8+COUNTIF(BJ$3:BJ7,BJ8)</f>
        <v>2</v>
      </c>
      <c r="BH8" s="44" t="str">
        <f>+AU8</f>
        <v>八木南クラブ</v>
      </c>
      <c r="BI8" s="42">
        <f>COUNT(B8:AC8)/2</f>
        <v>3</v>
      </c>
      <c r="BJ8" s="42">
        <f>RANK(BI8,BI$4:BI$8)</f>
        <v>2</v>
      </c>
      <c r="BK8" s="43">
        <f>VLOOKUP(ROW(AX5),$BG$4:$BJ$8,4,FALSE)</f>
        <v>5</v>
      </c>
      <c r="BL8" s="45" t="str">
        <f>VLOOKUP(ROW(AX5),$BG$4:$BJ$8,2,FALSE)</f>
        <v>酒井根東グリーンズ</v>
      </c>
    </row>
    <row r="9" spans="1:64" ht="19.5" customHeight="1">
      <c r="A9" s="79"/>
      <c r="B9" s="36"/>
      <c r="C9" s="37"/>
      <c r="D9" s="37"/>
      <c r="E9" s="38"/>
      <c r="F9" s="36"/>
      <c r="G9" s="37"/>
      <c r="H9" s="37"/>
      <c r="I9" s="38"/>
      <c r="J9" s="36"/>
      <c r="K9" s="37"/>
      <c r="L9" s="37"/>
      <c r="M9" s="38"/>
      <c r="N9" s="36"/>
      <c r="O9" s="37"/>
      <c r="P9" s="37"/>
      <c r="Q9" s="38"/>
      <c r="R9" s="36"/>
      <c r="S9" s="37"/>
      <c r="T9" s="37"/>
      <c r="U9" s="38"/>
      <c r="V9" s="36"/>
      <c r="W9" s="37"/>
      <c r="X9" s="37"/>
      <c r="Y9" s="38"/>
      <c r="Z9" s="36"/>
      <c r="AA9" s="37">
        <f>IF(Y10="","",Y10)</f>
      </c>
      <c r="AB9" s="37"/>
      <c r="AC9" s="38">
        <f>IF(W10="","",W10)</f>
      </c>
      <c r="AD9" s="36"/>
      <c r="AE9" s="37">
        <f>IF(Y11="","",Y11)</f>
      </c>
      <c r="AF9" s="37"/>
      <c r="AG9" s="38">
        <f>IF(W11="","",W11)</f>
      </c>
      <c r="AH9" s="30">
        <f t="shared" si="0"/>
        <v>0</v>
      </c>
      <c r="AI9" s="30">
        <f t="shared" si="1"/>
        <v>0</v>
      </c>
      <c r="AJ9" s="30">
        <f t="shared" si="2"/>
        <v>0</v>
      </c>
      <c r="AK9" s="31">
        <f t="shared" si="3"/>
        <v>0</v>
      </c>
      <c r="AL9" s="32">
        <f t="shared" si="4"/>
        <v>0</v>
      </c>
      <c r="AM9" s="33">
        <f t="shared" si="5"/>
        <v>0</v>
      </c>
      <c r="AN9" s="34">
        <f t="shared" si="6"/>
        <v>0</v>
      </c>
      <c r="AO9" s="30">
        <f t="shared" si="7"/>
        <v>0</v>
      </c>
      <c r="AP9" s="30">
        <f t="shared" si="8"/>
        <v>0</v>
      </c>
      <c r="AQ9" s="30">
        <f t="shared" si="9"/>
        <v>0</v>
      </c>
      <c r="AR9" s="1"/>
      <c r="AS9" s="1"/>
      <c r="AT9" s="42">
        <f>AY9+COUNTIF(AY$3:AY8,AY9)</f>
        <v>0</v>
      </c>
      <c r="AU9" s="44"/>
      <c r="AV9" s="42"/>
      <c r="AW9" s="42"/>
      <c r="AX9" s="42"/>
      <c r="AY9" s="42"/>
      <c r="AZ9" s="43"/>
      <c r="BA9" s="45"/>
      <c r="BB9" s="45"/>
      <c r="BC9" s="45"/>
      <c r="BD9" s="45"/>
      <c r="BE9" s="55"/>
      <c r="BG9" s="42"/>
      <c r="BH9" s="44"/>
      <c r="BI9" s="42"/>
      <c r="BJ9" s="42"/>
      <c r="BK9" s="43"/>
      <c r="BL9" s="45"/>
    </row>
    <row r="10" spans="1:64" ht="19.5" customHeight="1">
      <c r="A10" s="79"/>
      <c r="B10" s="36"/>
      <c r="C10" s="37"/>
      <c r="D10" s="37"/>
      <c r="E10" s="38"/>
      <c r="F10" s="36"/>
      <c r="G10" s="37"/>
      <c r="H10" s="37"/>
      <c r="I10" s="38"/>
      <c r="J10" s="36"/>
      <c r="K10" s="37"/>
      <c r="L10" s="37"/>
      <c r="M10" s="38"/>
      <c r="N10" s="36"/>
      <c r="O10" s="37"/>
      <c r="P10" s="37"/>
      <c r="Q10" s="38"/>
      <c r="R10" s="36"/>
      <c r="S10" s="37"/>
      <c r="T10" s="37"/>
      <c r="U10" s="38"/>
      <c r="V10" s="36"/>
      <c r="W10" s="37"/>
      <c r="X10" s="37"/>
      <c r="Y10" s="38"/>
      <c r="Z10" s="36"/>
      <c r="AA10" s="37"/>
      <c r="AB10" s="37"/>
      <c r="AC10" s="38"/>
      <c r="AD10" s="36"/>
      <c r="AE10" s="37">
        <f>IF(AC11="","",AC11)</f>
      </c>
      <c r="AF10" s="37"/>
      <c r="AG10" s="38">
        <f>IF(AA11="","",AA11)</f>
      </c>
      <c r="AH10" s="30">
        <f t="shared" si="0"/>
        <v>0</v>
      </c>
      <c r="AI10" s="30">
        <f t="shared" si="1"/>
        <v>0</v>
      </c>
      <c r="AJ10" s="30">
        <f t="shared" si="2"/>
        <v>0</v>
      </c>
      <c r="AK10" s="31">
        <f t="shared" si="3"/>
        <v>0</v>
      </c>
      <c r="AL10" s="32">
        <f t="shared" si="4"/>
        <v>0</v>
      </c>
      <c r="AM10" s="33">
        <f t="shared" si="5"/>
        <v>0</v>
      </c>
      <c r="AN10" s="34">
        <f t="shared" si="6"/>
        <v>0</v>
      </c>
      <c r="AO10" s="30">
        <f t="shared" si="7"/>
        <v>0</v>
      </c>
      <c r="AP10" s="30">
        <f t="shared" si="8"/>
        <v>0</v>
      </c>
      <c r="AQ10" s="30">
        <f t="shared" si="9"/>
        <v>0</v>
      </c>
      <c r="AR10" s="1"/>
      <c r="AS10" s="1"/>
      <c r="AT10" s="42">
        <f>AY10+COUNTIF(AY$3:AY9,AY10)</f>
        <v>0</v>
      </c>
      <c r="AU10" s="44"/>
      <c r="AV10" s="42"/>
      <c r="AW10" s="42"/>
      <c r="AX10" s="42"/>
      <c r="AY10" s="42"/>
      <c r="AZ10" s="43"/>
      <c r="BA10" s="45"/>
      <c r="BB10" s="45"/>
      <c r="BC10" s="45"/>
      <c r="BD10" s="45"/>
      <c r="BE10" s="55"/>
      <c r="BG10" s="42"/>
      <c r="BH10" s="44"/>
      <c r="BI10" s="42"/>
      <c r="BJ10" s="42"/>
      <c r="BK10" s="43"/>
      <c r="BL10" s="45"/>
    </row>
    <row r="11" spans="1:64" ht="19.5" customHeight="1">
      <c r="A11" s="79"/>
      <c r="B11" s="36"/>
      <c r="C11" s="37"/>
      <c r="D11" s="37"/>
      <c r="E11" s="38"/>
      <c r="F11" s="36"/>
      <c r="G11" s="37"/>
      <c r="H11" s="37"/>
      <c r="I11" s="38"/>
      <c r="J11" s="36"/>
      <c r="K11" s="37"/>
      <c r="L11" s="37"/>
      <c r="M11" s="38"/>
      <c r="N11" s="36"/>
      <c r="O11" s="37"/>
      <c r="P11" s="37"/>
      <c r="Q11" s="38"/>
      <c r="R11" s="36"/>
      <c r="S11" s="37"/>
      <c r="T11" s="37"/>
      <c r="U11" s="38"/>
      <c r="V11" s="36"/>
      <c r="W11" s="37"/>
      <c r="X11" s="37"/>
      <c r="Y11" s="38"/>
      <c r="Z11" s="36"/>
      <c r="AA11" s="37"/>
      <c r="AB11" s="37"/>
      <c r="AC11" s="38"/>
      <c r="AD11" s="36"/>
      <c r="AE11" s="37"/>
      <c r="AF11" s="37"/>
      <c r="AG11" s="38"/>
      <c r="AH11" s="30">
        <f>IF(C11&gt;E11,1,0)+IF(G11&gt;I11,1,0)+IF(K11&gt;M11,1,0)+IF(O11&gt;Q11,1,0)+IF(S11&gt;U11,1,0)+IF(W11&gt;Y11,1,0)+IF(AA11&gt;AC11,1,0)+IF(AE11&gt;AG11,1,0)</f>
        <v>0</v>
      </c>
      <c r="AI11" s="30">
        <f>IF(C11&lt;E11,1,0)+IF(G11&lt;I11,1,0)+IF(K11&lt;M11,1,0)+IF(O11&lt;Q11,1,0)+IF(S11&lt;U11,1,0)+IF(W11&lt;Y11,1,0)+IF(AA11&lt;AC11,1,0)+IF(AE11&lt;AG11,1,0)</f>
        <v>0</v>
      </c>
      <c r="AJ11" s="30">
        <f>IF(AND(ISNUMBER(C11),C11=E11),1,0)+IF(AND(ISNUMBER(G11),G11=I11),1,0)+IF(AND(ISNUMBER(K11),K11=M11),1,)+IF(AND(ISNUMBER(O11),O11=Q11),1,0)+IF(AND(ISNUMBER(S11),S11=U11),1,0)+IF(AND(ISNUMBER(W11),W11=Y11),1,0)+IF(AND(ISNUMBER(AA11),AA11=AC11),1,0)+IF(AND(ISNUMBER(AE11),AE11=AG11),1,0)</f>
        <v>0</v>
      </c>
      <c r="AK11" s="31">
        <f>AH11*2</f>
        <v>0</v>
      </c>
      <c r="AL11" s="32">
        <f>AI11*0</f>
        <v>0</v>
      </c>
      <c r="AM11" s="33">
        <f>AJ11*1</f>
        <v>0</v>
      </c>
      <c r="AN11" s="34">
        <f>AK11+AL11+AM11</f>
        <v>0</v>
      </c>
      <c r="AO11" s="30">
        <f>IF(ISNUMBER(G11),G11,0)+IF(ISNUMBER(K11),K11,0)+IF(ISNUMBER(O11),O11,0)+IF(ISNUMBER(AA11),AA11,0)+IF(ISNUMBER(AE11),AE11,0)+IF(ISNUMBER(S11),S11,0)+IF(ISNUMBER(W11),W11,0)+IF(ISNUMBER(C11),C11,0)</f>
        <v>0</v>
      </c>
      <c r="AP11" s="30">
        <f>IF(ISNUMBER(I11),I11,0)+IF(ISNUMBER(M11),M11,0)+IF(ISNUMBER(Q11),Q11,0)+IF(ISNUMBER(AC11),AC11,0)+IF(ISNUMBER(AG11),AG11,0)+IF(ISNUMBER(U11),U11,0)+IF(ISNUMBER(Y11),Y11,0)+IF(ISNUMBER(E11),E11,0)</f>
        <v>0</v>
      </c>
      <c r="AQ11" s="30">
        <f>AO11-AP11</f>
        <v>0</v>
      </c>
      <c r="AR11" s="1"/>
      <c r="AS11" s="1"/>
      <c r="AT11" s="42"/>
      <c r="AU11" s="44"/>
      <c r="AV11" s="42"/>
      <c r="AW11" s="42"/>
      <c r="AX11" s="42"/>
      <c r="AY11" s="42"/>
      <c r="AZ11" s="43"/>
      <c r="BA11" s="45"/>
      <c r="BB11" s="45"/>
      <c r="BC11" s="45"/>
      <c r="BD11" s="45"/>
      <c r="BE11" s="55"/>
      <c r="BG11" s="42"/>
      <c r="BH11" s="44"/>
      <c r="BI11" s="42"/>
      <c r="BJ11" s="42"/>
      <c r="BK11" s="43"/>
      <c r="BL11" s="45"/>
    </row>
    <row r="12" spans="1:64" ht="19.5" customHeight="1">
      <c r="A12" s="7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>
        <f>SUM(AH4:AH11)</f>
        <v>5</v>
      </c>
      <c r="AJ12" s="6">
        <f>SUM(AI4:AI11)</f>
        <v>5</v>
      </c>
      <c r="AK12" s="6">
        <f>SUM(AJ4:AJ11)</f>
        <v>2</v>
      </c>
      <c r="AL12" s="6"/>
      <c r="AM12" s="6"/>
      <c r="AN12" s="1"/>
      <c r="AO12" s="6">
        <f>SUM(AO4:AO11)</f>
        <v>68</v>
      </c>
      <c r="AP12" s="6">
        <f>SUM(AP4:AP11)</f>
        <v>68</v>
      </c>
      <c r="AQ12" s="6">
        <f>SUM(AQ4:AQ11)</f>
        <v>0</v>
      </c>
      <c r="AT12" s="46"/>
      <c r="AU12" s="47"/>
      <c r="AV12" s="46"/>
      <c r="AW12" s="46"/>
      <c r="AX12" s="46"/>
      <c r="AY12" s="46"/>
      <c r="AZ12" s="48"/>
      <c r="BA12" s="49"/>
      <c r="BB12" s="55"/>
      <c r="BC12" s="55"/>
      <c r="BD12" s="55"/>
      <c r="BE12" s="55"/>
      <c r="BF12" s="50"/>
      <c r="BG12" s="46"/>
      <c r="BH12" s="47"/>
      <c r="BI12" s="46">
        <f>SUM(BI4:BI11)/2</f>
        <v>6</v>
      </c>
      <c r="BJ12" s="3">
        <f>5*4/2</f>
        <v>10</v>
      </c>
      <c r="BK12" s="48"/>
      <c r="BL12" s="49"/>
    </row>
    <row r="13" spans="1:65" ht="19.5" customHeight="1">
      <c r="A13" s="4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6"/>
      <c r="AM13" s="6"/>
      <c r="AN13" s="6"/>
      <c r="AO13" s="6"/>
      <c r="AP13" s="6"/>
      <c r="AQ13" s="6"/>
      <c r="AR13" s="6"/>
      <c r="AS13" s="6"/>
      <c r="AT13" s="6"/>
      <c r="AU13" s="6"/>
      <c r="BM13" s="53"/>
    </row>
    <row r="14" spans="1:47" ht="19.5" customHeight="1">
      <c r="A14" s="4" t="s">
        <v>1</v>
      </c>
      <c r="B14" s="73" t="s">
        <v>53</v>
      </c>
      <c r="C14" s="51"/>
      <c r="D14" s="51"/>
      <c r="E14" s="51"/>
      <c r="F14" s="51"/>
      <c r="G14" s="171" t="str">
        <f>"１日"&amp;ROUND((BJ24-BI24)/'戦績'!N42,1)&amp;"試合"</f>
        <v>１日0試合</v>
      </c>
      <c r="H14" s="171"/>
      <c r="I14" s="171"/>
      <c r="J14" s="171"/>
      <c r="K14" s="163" t="s">
        <v>23</v>
      </c>
      <c r="L14" s="163"/>
      <c r="M14" s="163"/>
      <c r="N14" s="163"/>
      <c r="O14" s="165" t="str">
        <f>IF(C61&gt;C60,+BA16,"")</f>
        <v>増尾レッドスターズ</v>
      </c>
      <c r="P14" s="165"/>
      <c r="Q14" s="165"/>
      <c r="R14" s="165"/>
      <c r="S14" s="165"/>
      <c r="T14" s="52"/>
      <c r="U14" s="163" t="s">
        <v>24</v>
      </c>
      <c r="V14" s="163"/>
      <c r="W14" s="163"/>
      <c r="X14" s="163"/>
      <c r="Y14" s="165" t="str">
        <f>IF(C61&gt;C60,BA17,"")</f>
        <v>根木内ヤングスターズ</v>
      </c>
      <c r="Z14" s="165"/>
      <c r="AA14" s="165"/>
      <c r="AB14" s="165"/>
      <c r="AC14" s="165"/>
      <c r="AD14" s="165"/>
      <c r="AE14" s="1"/>
      <c r="AF14" s="54" t="s">
        <v>26</v>
      </c>
      <c r="AG14" s="1"/>
      <c r="AH14" s="1"/>
      <c r="AI14" s="1"/>
      <c r="AJ14" s="169">
        <f>+BI24/(MAX(AT16:AT23)*(MAX(AT16:AT23)-1)/2)</f>
        <v>0.6</v>
      </c>
      <c r="AK14" s="169"/>
      <c r="AL14" s="60">
        <f>IF(AL13=AM13,"","計算間違い")</f>
      </c>
      <c r="AM14" s="1"/>
      <c r="AN14" s="1"/>
      <c r="AO14" s="1"/>
      <c r="AP14" s="60">
        <f>IF(AN13/2=TRUNC(AN13/2,0),"","計算間違い")</f>
      </c>
      <c r="AQ14" s="1"/>
      <c r="AR14" s="1"/>
      <c r="AS14" s="1"/>
      <c r="AT14" s="1"/>
      <c r="AU14" s="1"/>
    </row>
    <row r="15" spans="1:61" ht="19.5" customHeight="1">
      <c r="A15" s="5"/>
      <c r="B15" s="164" t="str">
        <f>+A16</f>
        <v>根木内ヤングスターズ</v>
      </c>
      <c r="C15" s="164"/>
      <c r="D15" s="164"/>
      <c r="E15" s="164"/>
      <c r="F15" s="164" t="str">
        <f>+A17</f>
        <v>五香メッツ</v>
      </c>
      <c r="G15" s="164"/>
      <c r="H15" s="164"/>
      <c r="I15" s="164"/>
      <c r="J15" s="164" t="str">
        <f>+A18</f>
        <v>リトルベアーズ</v>
      </c>
      <c r="K15" s="164"/>
      <c r="L15" s="164"/>
      <c r="M15" s="164"/>
      <c r="N15" s="164" t="str">
        <f>+A19</f>
        <v>増尾レッドスターズ</v>
      </c>
      <c r="O15" s="164"/>
      <c r="P15" s="164"/>
      <c r="Q15" s="164"/>
      <c r="R15" s="164" t="str">
        <f>+A20</f>
        <v>ありんこアントス</v>
      </c>
      <c r="S15" s="164"/>
      <c r="T15" s="164"/>
      <c r="U15" s="164"/>
      <c r="V15" s="164"/>
      <c r="W15" s="164"/>
      <c r="X15" s="164"/>
      <c r="Y15" s="164"/>
      <c r="Z15" s="164"/>
      <c r="AA15" s="164"/>
      <c r="AB15" s="164"/>
      <c r="AC15" s="164"/>
      <c r="AD15" s="164"/>
      <c r="AE15" s="164"/>
      <c r="AF15" s="164"/>
      <c r="AG15" s="164"/>
      <c r="AH15" s="25" t="s">
        <v>4</v>
      </c>
      <c r="AI15" s="25" t="s">
        <v>5</v>
      </c>
      <c r="AJ15" s="25" t="s">
        <v>6</v>
      </c>
      <c r="AK15" s="26" t="s">
        <v>11</v>
      </c>
      <c r="AL15" s="27" t="s">
        <v>12</v>
      </c>
      <c r="AM15" s="28" t="s">
        <v>13</v>
      </c>
      <c r="AN15" s="29" t="s">
        <v>7</v>
      </c>
      <c r="AO15" s="25" t="s">
        <v>8</v>
      </c>
      <c r="AP15" s="25" t="s">
        <v>9</v>
      </c>
      <c r="AQ15" s="25" t="s">
        <v>10</v>
      </c>
      <c r="AR15" s="1"/>
      <c r="AS15" s="1"/>
      <c r="AU15" s="3" t="s">
        <v>17</v>
      </c>
      <c r="AV15" s="3" t="s">
        <v>18</v>
      </c>
      <c r="BH15" s="3" t="s">
        <v>17</v>
      </c>
      <c r="BI15" s="3" t="s">
        <v>19</v>
      </c>
    </row>
    <row r="16" spans="1:64" ht="19.5" customHeight="1">
      <c r="A16" s="79" t="s">
        <v>70</v>
      </c>
      <c r="B16" s="36"/>
      <c r="C16" s="37"/>
      <c r="D16" s="37"/>
      <c r="E16" s="38"/>
      <c r="F16" s="36"/>
      <c r="G16" s="37">
        <f>IF(E17="","",E17)</f>
        <v>9</v>
      </c>
      <c r="H16" s="37"/>
      <c r="I16" s="38">
        <f>IF(C17="","",C17)</f>
        <v>6</v>
      </c>
      <c r="J16" s="36"/>
      <c r="K16" s="37">
        <f>IF(E18="","",E18)</f>
      </c>
      <c r="L16" s="37"/>
      <c r="M16" s="38">
        <f>IF(C18="","",C18)</f>
      </c>
      <c r="N16" s="36"/>
      <c r="O16" s="37">
        <f>IF(E19="","",E19)</f>
        <v>2</v>
      </c>
      <c r="P16" s="37"/>
      <c r="Q16" s="38">
        <f>IF(C19="","",C19)</f>
        <v>13</v>
      </c>
      <c r="R16" s="36"/>
      <c r="S16" s="37">
        <f>IF(E20="","",E20)</f>
        <v>14</v>
      </c>
      <c r="T16" s="37"/>
      <c r="U16" s="38">
        <f>IF(C20="","",C20)</f>
        <v>5</v>
      </c>
      <c r="V16" s="36"/>
      <c r="W16" s="37">
        <f>IF(E21="","",E21)</f>
      </c>
      <c r="X16" s="37"/>
      <c r="Y16" s="38">
        <f>IF(C21="","",C21)</f>
      </c>
      <c r="Z16" s="36"/>
      <c r="AA16" s="37">
        <f>IF(E22="","",E22)</f>
      </c>
      <c r="AB16" s="37"/>
      <c r="AC16" s="38">
        <f>IF(C22="","",C22)</f>
      </c>
      <c r="AD16" s="36"/>
      <c r="AE16" s="37">
        <f>IF(E23="","",E23)</f>
      </c>
      <c r="AF16" s="37"/>
      <c r="AG16" s="38">
        <f>IF(C23="","",C23)</f>
      </c>
      <c r="AH16" s="30">
        <f>IF(C16&gt;E16,1,0)+IF(G16&gt;I16,1,0)+IF(K16&gt;M16,1,0)+IF(O16&gt;Q16,1,0)+IF(S16&gt;U16,1,0)+IF(W16&gt;Y16,1,0)+IF(AA16&gt;AC16,1,0)+IF(AE16&gt;AG16,1,0)</f>
        <v>2</v>
      </c>
      <c r="AI16" s="30">
        <f>IF(C16&lt;E16,1,0)+IF(G16&lt;I16,1,0)+IF(K16&lt;M16,1,0)+IF(O16&lt;Q16,1,0)+IF(S16&lt;U16,1,0)+IF(W16&lt;Y16,1,0)+IF(AA16&lt;AC16,1,0)+IF(AE16&lt;AG16,1,0)</f>
        <v>1</v>
      </c>
      <c r="AJ16" s="30">
        <f>IF(AND(ISNUMBER(C16),C16=E16),1,0)+IF(AND(ISNUMBER(G16),G16=I16),1,0)+IF(AND(ISNUMBER(K16),K16=M16),1,)+IF(AND(ISNUMBER(O16),O16=Q16),1,0)+IF(AND(ISNUMBER(S16),S16=U16),1,0)+IF(AND(ISNUMBER(W16),W16=Y16),1,0)+IF(AND(ISNUMBER(AA16),AA16=AC16),1,0)+IF(AND(ISNUMBER(AE16),AE16=AG16),1,0)</f>
        <v>0</v>
      </c>
      <c r="AK16" s="31">
        <f>AH16*2</f>
        <v>4</v>
      </c>
      <c r="AL16" s="32">
        <f>AI16*0</f>
        <v>0</v>
      </c>
      <c r="AM16" s="33">
        <f>AJ16*1</f>
        <v>0</v>
      </c>
      <c r="AN16" s="34">
        <f>AK16+AL16+AM16</f>
        <v>4</v>
      </c>
      <c r="AO16" s="30">
        <f>IF(ISNUMBER(G16),G16,0)+IF(ISNUMBER(K16),K16,0)+IF(ISNUMBER(O16),O16,0)+IF(ISNUMBER(AA16),AA16,0)+IF(ISNUMBER(AE16),AE16,0)+IF(ISNUMBER(S16),S16,0)+IF(ISNUMBER(W16),W16,0)+IF(ISNUMBER(C16),C16,0)</f>
        <v>25</v>
      </c>
      <c r="AP16" s="30">
        <f>IF(ISNUMBER(I16),I16,0)+IF(ISNUMBER(M16),M16,0)+IF(ISNUMBER(Q16),Q16,0)+IF(ISNUMBER(AC16),AC16,0)+IF(ISNUMBER(AG16),AG16,0)+IF(ISNUMBER(U16),U16,0)+IF(ISNUMBER(Y16),Y16,0)+IF(ISNUMBER(E16),E16,0)</f>
        <v>24</v>
      </c>
      <c r="AQ16" s="30">
        <f>AO16-AP16</f>
        <v>1</v>
      </c>
      <c r="AR16" s="1"/>
      <c r="AS16" s="1"/>
      <c r="AT16" s="42">
        <f>AY16+COUNTIF(AY15:AY$15,AY16)</f>
        <v>2</v>
      </c>
      <c r="AU16" s="44" t="str">
        <f>+A16</f>
        <v>根木内ヤングスターズ</v>
      </c>
      <c r="AV16" s="42">
        <f>+AN16</f>
        <v>4</v>
      </c>
      <c r="AW16" s="42">
        <f>+AH16</f>
        <v>2</v>
      </c>
      <c r="AX16" s="42">
        <f>+AH16+AI16+AJ16</f>
        <v>3</v>
      </c>
      <c r="AY16" s="42">
        <f>RANK(AV16,AV$16:AV$20)</f>
        <v>2</v>
      </c>
      <c r="AZ16" s="43">
        <f>VLOOKUP(ROW(AX1),$AT$16:$AZ$20,6,FALSE)</f>
        <v>1</v>
      </c>
      <c r="BA16" s="45" t="str">
        <f>VLOOKUP(ROW(AX1),$AT$16:$AY$20,2,FALSE)</f>
        <v>増尾レッドスターズ</v>
      </c>
      <c r="BB16" s="45">
        <f>VLOOKUP(ROW(AX1),$AT$16:$AY$20,3,FALSE)</f>
        <v>8</v>
      </c>
      <c r="BC16" s="45">
        <f>VLOOKUP(ROW(AX1),$AT$16:$AY$20,4,FALSE)</f>
        <v>4</v>
      </c>
      <c r="BD16" s="45">
        <f>VLOOKUP(ROW(AX1),$AT$16:$AY$20,5,FALSE)</f>
        <v>4</v>
      </c>
      <c r="BE16" s="55"/>
      <c r="BG16" s="42">
        <f>BJ16+COUNTIF(BJ$15:BJ15,BJ16)</f>
        <v>2</v>
      </c>
      <c r="BH16" s="44" t="str">
        <f>+AU16</f>
        <v>根木内ヤングスターズ</v>
      </c>
      <c r="BI16" s="42">
        <f>COUNT(B16:AC16)/2</f>
        <v>3</v>
      </c>
      <c r="BJ16" s="42">
        <f>RANK(BI16,BI$16:BI$20)</f>
        <v>2</v>
      </c>
      <c r="BK16" s="43">
        <f>VLOOKUP(ROW(BK1),$BG$16:$BJ$20,4,FALSE)</f>
        <v>1</v>
      </c>
      <c r="BL16" s="45" t="str">
        <f>VLOOKUP(ROW(BL1),$BG$16:$BJ$20,2,FALSE)</f>
        <v>増尾レッドスターズ</v>
      </c>
    </row>
    <row r="17" spans="1:64" ht="19.5" customHeight="1">
      <c r="A17" s="79" t="s">
        <v>75</v>
      </c>
      <c r="B17" s="36"/>
      <c r="C17" s="37">
        <v>6</v>
      </c>
      <c r="D17" s="37"/>
      <c r="E17" s="38">
        <v>9</v>
      </c>
      <c r="F17" s="36"/>
      <c r="G17" s="37"/>
      <c r="H17" s="37"/>
      <c r="I17" s="38"/>
      <c r="J17" s="36"/>
      <c r="K17" s="37">
        <f>IF(I18="","",I18)</f>
      </c>
      <c r="L17" s="37"/>
      <c r="M17" s="38">
        <f>IF(G18="","",G18)</f>
      </c>
      <c r="N17" s="36"/>
      <c r="O17" s="37">
        <f>IF(I19="","",I19)</f>
        <v>2</v>
      </c>
      <c r="P17" s="37"/>
      <c r="Q17" s="38">
        <f>IF(G19="","",G19)</f>
        <v>10</v>
      </c>
      <c r="R17" s="36"/>
      <c r="S17" s="37">
        <f>IF(I20="","",I20)</f>
      </c>
      <c r="T17" s="37"/>
      <c r="U17" s="38">
        <f>IF(G20="","",G20)</f>
      </c>
      <c r="V17" s="36"/>
      <c r="W17" s="37">
        <f>IF(I21="","",I21)</f>
      </c>
      <c r="X17" s="37"/>
      <c r="Y17" s="38">
        <f>IF(G21="","",G21)</f>
      </c>
      <c r="Z17" s="36"/>
      <c r="AA17" s="37">
        <f>IF(I22="","",I22)</f>
      </c>
      <c r="AB17" s="37"/>
      <c r="AC17" s="38">
        <f>IF(G22="","",G22)</f>
      </c>
      <c r="AD17" s="36"/>
      <c r="AE17" s="37">
        <f>IF(I23="","",I23)</f>
      </c>
      <c r="AF17" s="37"/>
      <c r="AG17" s="38">
        <f>IF(G23="","",G23)</f>
      </c>
      <c r="AH17" s="30">
        <f aca="true" t="shared" si="10" ref="AH17:AH22">IF(C17&gt;E17,1,0)+IF(G17&gt;I17,1,0)+IF(K17&gt;M17,1,0)+IF(O17&gt;Q17,1,0)+IF(S17&gt;U17,1,0)+IF(W17&gt;Y17,1,0)+IF(AA17&gt;AC17,1,0)+IF(AE17&gt;AG17,1,0)</f>
        <v>0</v>
      </c>
      <c r="AI17" s="30">
        <f aca="true" t="shared" si="11" ref="AI17:AI22">IF(C17&lt;E17,1,0)+IF(G17&lt;I17,1,0)+IF(K17&lt;M17,1,0)+IF(O17&lt;Q17,1,0)+IF(S17&lt;U17,1,0)+IF(W17&lt;Y17,1,0)+IF(AA17&lt;AC17,1,0)+IF(AE17&lt;AG17,1,0)</f>
        <v>2</v>
      </c>
      <c r="AJ17" s="30">
        <f aca="true" t="shared" si="12" ref="AJ17:AJ22">IF(AND(ISNUMBER(C17),C17=E17),1,0)+IF(AND(ISNUMBER(G17),G17=I17),1,0)+IF(AND(ISNUMBER(K17),K17=M17),1,)+IF(AND(ISNUMBER(O17),O17=Q17),1,0)+IF(AND(ISNUMBER(S17),S17=U17),1,0)+IF(AND(ISNUMBER(W17),W17=Y17),1,0)+IF(AND(ISNUMBER(AA17),AA17=AC17),1,0)+IF(AND(ISNUMBER(AE17),AE17=AG17),1,0)</f>
        <v>0</v>
      </c>
      <c r="AK17" s="31">
        <f aca="true" t="shared" si="13" ref="AK17:AK22">AH17*2</f>
        <v>0</v>
      </c>
      <c r="AL17" s="32">
        <f aca="true" t="shared" si="14" ref="AL17:AL22">AI17*0</f>
        <v>0</v>
      </c>
      <c r="AM17" s="33">
        <f aca="true" t="shared" si="15" ref="AM17:AM22">AJ17*1</f>
        <v>0</v>
      </c>
      <c r="AN17" s="34">
        <f aca="true" t="shared" si="16" ref="AN17:AN22">AK17+AL17+AM17</f>
        <v>0</v>
      </c>
      <c r="AO17" s="30">
        <f aca="true" t="shared" si="17" ref="AO17:AO22">IF(ISNUMBER(G17),G17,0)+IF(ISNUMBER(K17),K17,0)+IF(ISNUMBER(O17),O17,0)+IF(ISNUMBER(AA17),AA17,0)+IF(ISNUMBER(AE17),AE17,0)+IF(ISNUMBER(S17),S17,0)+IF(ISNUMBER(W17),W17,0)+IF(ISNUMBER(C17),C17,0)</f>
        <v>8</v>
      </c>
      <c r="AP17" s="30">
        <f aca="true" t="shared" si="18" ref="AP17:AP22">IF(ISNUMBER(I17),I17,0)+IF(ISNUMBER(M17),M17,0)+IF(ISNUMBER(Q17),Q17,0)+IF(ISNUMBER(AC17),AC17,0)+IF(ISNUMBER(AG17),AG17,0)+IF(ISNUMBER(U17),U17,0)+IF(ISNUMBER(Y17),Y17,0)+IF(ISNUMBER(E17),E17,0)</f>
        <v>19</v>
      </c>
      <c r="AQ17" s="25">
        <f aca="true" t="shared" si="19" ref="AQ17:AQ22">AO17-AP17</f>
        <v>-11</v>
      </c>
      <c r="AR17" s="1"/>
      <c r="AS17" s="1"/>
      <c r="AT17" s="42">
        <f>AY17+COUNTIF(AY$15:AY16,AY17)</f>
        <v>3</v>
      </c>
      <c r="AU17" s="44" t="str">
        <f>+A17</f>
        <v>五香メッツ</v>
      </c>
      <c r="AV17" s="42">
        <f>+AN17</f>
        <v>0</v>
      </c>
      <c r="AW17" s="42">
        <f>+AH17</f>
        <v>0</v>
      </c>
      <c r="AX17" s="42">
        <f>+AH17+AI17+AJ17</f>
        <v>2</v>
      </c>
      <c r="AY17" s="42">
        <f>RANK(AV17,AV$16:AV$20)</f>
        <v>3</v>
      </c>
      <c r="AZ17" s="43">
        <f>VLOOKUP(ROW(AX2),$AT$16:$AZ$20,6,FALSE)</f>
        <v>2</v>
      </c>
      <c r="BA17" s="45" t="str">
        <f>VLOOKUP(ROW(AX2),$AT$16:$AY$20,2,FALSE)</f>
        <v>根木内ヤングスターズ</v>
      </c>
      <c r="BB17" s="45">
        <f>VLOOKUP(ROW(AX2),$AT$16:$AY$20,3,FALSE)</f>
        <v>4</v>
      </c>
      <c r="BC17" s="45">
        <f>VLOOKUP(ROW(AX2),$AT$16:$AY$20,4,FALSE)</f>
        <v>2</v>
      </c>
      <c r="BD17" s="45">
        <f>VLOOKUP(ROW(AX2),$AT$16:$AY$20,5,FALSE)</f>
        <v>3</v>
      </c>
      <c r="BE17" s="55"/>
      <c r="BG17" s="42">
        <f>BJ17+COUNTIF(BJ$15:BJ16,BJ17)</f>
        <v>3</v>
      </c>
      <c r="BH17" s="44" t="str">
        <f>+AU17</f>
        <v>五香メッツ</v>
      </c>
      <c r="BI17" s="42">
        <f>COUNT(B17:AC17)/2</f>
        <v>2</v>
      </c>
      <c r="BJ17" s="42">
        <f>RANK(BI17,BI$16:BI$20)</f>
        <v>3</v>
      </c>
      <c r="BK17" s="43">
        <f>VLOOKUP(ROW(BK2),$BG$16:$BJ$20,4,FALSE)</f>
        <v>2</v>
      </c>
      <c r="BL17" s="45" t="str">
        <f>VLOOKUP(ROW(BL2),$BG$16:$BJ$20,2,FALSE)</f>
        <v>根木内ヤングスターズ</v>
      </c>
    </row>
    <row r="18" spans="1:64" ht="19.5" customHeight="1">
      <c r="A18" s="79" t="s">
        <v>69</v>
      </c>
      <c r="B18" s="36"/>
      <c r="C18" s="37"/>
      <c r="D18" s="37"/>
      <c r="E18" s="38"/>
      <c r="F18" s="36"/>
      <c r="G18" s="37"/>
      <c r="H18" s="37"/>
      <c r="I18" s="38"/>
      <c r="J18" s="36"/>
      <c r="K18" s="37"/>
      <c r="L18" s="37"/>
      <c r="M18" s="38"/>
      <c r="N18" s="36"/>
      <c r="O18" s="37">
        <f>IF(M19="","",M19)</f>
        <v>0</v>
      </c>
      <c r="P18" s="37"/>
      <c r="Q18" s="38">
        <f>IF(K19="","",K19)</f>
        <v>18</v>
      </c>
      <c r="R18" s="36"/>
      <c r="S18" s="37">
        <f>IF(M20="","",M20)</f>
      </c>
      <c r="T18" s="37"/>
      <c r="U18" s="38">
        <f>IF(K20="","",K20)</f>
      </c>
      <c r="V18" s="36"/>
      <c r="W18" s="37">
        <f>IF(M21="","",M21)</f>
      </c>
      <c r="X18" s="37"/>
      <c r="Y18" s="38">
        <f>IF(K21="","",K21)</f>
      </c>
      <c r="Z18" s="36"/>
      <c r="AA18" s="37">
        <f>IF(M22="","",M22)</f>
      </c>
      <c r="AB18" s="37"/>
      <c r="AC18" s="38">
        <f>IF(K22="","",K22)</f>
      </c>
      <c r="AD18" s="36"/>
      <c r="AE18" s="37">
        <f>IF(M23="","",M23)</f>
      </c>
      <c r="AF18" s="37"/>
      <c r="AG18" s="38">
        <f>IF(K23="","",K23)</f>
      </c>
      <c r="AH18" s="30">
        <f t="shared" si="10"/>
        <v>0</v>
      </c>
      <c r="AI18" s="30">
        <f t="shared" si="11"/>
        <v>1</v>
      </c>
      <c r="AJ18" s="30">
        <f t="shared" si="12"/>
        <v>0</v>
      </c>
      <c r="AK18" s="31">
        <f t="shared" si="13"/>
        <v>0</v>
      </c>
      <c r="AL18" s="32">
        <f t="shared" si="14"/>
        <v>0</v>
      </c>
      <c r="AM18" s="33">
        <f t="shared" si="15"/>
        <v>0</v>
      </c>
      <c r="AN18" s="34">
        <f t="shared" si="16"/>
        <v>0</v>
      </c>
      <c r="AO18" s="30">
        <f t="shared" si="17"/>
        <v>0</v>
      </c>
      <c r="AP18" s="30">
        <f t="shared" si="18"/>
        <v>18</v>
      </c>
      <c r="AQ18" s="35">
        <f t="shared" si="19"/>
        <v>-18</v>
      </c>
      <c r="AR18" s="1"/>
      <c r="AS18" s="1"/>
      <c r="AT18" s="42">
        <f>AY18+COUNTIF(AY$15:AY17,AY18)</f>
        <v>4</v>
      </c>
      <c r="AU18" s="44" t="str">
        <f>+A18</f>
        <v>リトルベアーズ</v>
      </c>
      <c r="AV18" s="42">
        <f>+AN18</f>
        <v>0</v>
      </c>
      <c r="AW18" s="42">
        <f>+AH18</f>
        <v>0</v>
      </c>
      <c r="AX18" s="42">
        <f>+AH18+AI18+AJ18</f>
        <v>1</v>
      </c>
      <c r="AY18" s="42">
        <f>RANK(AV18,AV$16:AV$20)</f>
        <v>3</v>
      </c>
      <c r="AZ18" s="43">
        <f>VLOOKUP(ROW(AX3),$AT$16:$AZ$20,6,FALSE)</f>
        <v>3</v>
      </c>
      <c r="BA18" s="45" t="str">
        <f>VLOOKUP(ROW(AX3),$AT$16:$AY$20,2,FALSE)</f>
        <v>五香メッツ</v>
      </c>
      <c r="BB18" s="45">
        <f>VLOOKUP(ROW(AX3),$AT$16:$AY$20,3,FALSE)</f>
        <v>0</v>
      </c>
      <c r="BC18" s="45">
        <f>VLOOKUP(ROW(AX3),$AT$16:$AY$20,4,FALSE)</f>
        <v>0</v>
      </c>
      <c r="BD18" s="45">
        <f>VLOOKUP(ROW(AX3),$AT$16:$AY$20,5,FALSE)</f>
        <v>2</v>
      </c>
      <c r="BE18" s="55"/>
      <c r="BG18" s="42">
        <f>BJ18+COUNTIF(BJ$15:BJ17,BJ18)</f>
        <v>5</v>
      </c>
      <c r="BH18" s="44" t="str">
        <f>+AU18</f>
        <v>リトルベアーズ</v>
      </c>
      <c r="BI18" s="42">
        <f>COUNT(B18:AC18)/2</f>
        <v>1</v>
      </c>
      <c r="BJ18" s="42">
        <f>RANK(BI18,BI$16:BI$20)</f>
        <v>5</v>
      </c>
      <c r="BK18" s="43">
        <f>VLOOKUP(ROW(BK3),$BG$16:$BJ$20,4,FALSE)</f>
        <v>3</v>
      </c>
      <c r="BL18" s="45" t="str">
        <f>VLOOKUP(ROW(BL3),$BG$16:$BJ$20,2,FALSE)</f>
        <v>五香メッツ</v>
      </c>
    </row>
    <row r="19" spans="1:64" ht="19.5" customHeight="1">
      <c r="A19" s="79" t="s">
        <v>94</v>
      </c>
      <c r="B19" s="36"/>
      <c r="C19" s="37">
        <v>13</v>
      </c>
      <c r="D19" s="37"/>
      <c r="E19" s="38">
        <v>2</v>
      </c>
      <c r="F19" s="36"/>
      <c r="G19" s="37">
        <v>10</v>
      </c>
      <c r="H19" s="37"/>
      <c r="I19" s="38">
        <v>2</v>
      </c>
      <c r="J19" s="36"/>
      <c r="K19" s="37">
        <v>18</v>
      </c>
      <c r="L19" s="37"/>
      <c r="M19" s="38">
        <v>0</v>
      </c>
      <c r="N19" s="36"/>
      <c r="O19" s="37"/>
      <c r="P19" s="37"/>
      <c r="Q19" s="38"/>
      <c r="R19" s="36"/>
      <c r="S19" s="37">
        <f>IF(Q20="","",Q20)</f>
        <v>7</v>
      </c>
      <c r="T19" s="37"/>
      <c r="U19" s="38">
        <f>IF(O20="","",O20)</f>
        <v>6</v>
      </c>
      <c r="V19" s="36"/>
      <c r="W19" s="37">
        <f>IF(Q21="","",Q21)</f>
      </c>
      <c r="X19" s="37"/>
      <c r="Y19" s="38">
        <f>IF(O21="","",O21)</f>
      </c>
      <c r="Z19" s="36"/>
      <c r="AA19" s="37">
        <f>IF(Q22="","",Q22)</f>
      </c>
      <c r="AB19" s="37"/>
      <c r="AC19" s="38">
        <f>IF(O22="","",O22)</f>
      </c>
      <c r="AD19" s="36"/>
      <c r="AE19" s="37">
        <f>IF(Q23="","",Q23)</f>
      </c>
      <c r="AF19" s="37"/>
      <c r="AG19" s="38">
        <f>IF(O23="","",O23)</f>
      </c>
      <c r="AH19" s="30">
        <f t="shared" si="10"/>
        <v>4</v>
      </c>
      <c r="AI19" s="30">
        <f t="shared" si="11"/>
        <v>0</v>
      </c>
      <c r="AJ19" s="30">
        <f t="shared" si="12"/>
        <v>0</v>
      </c>
      <c r="AK19" s="31">
        <f t="shared" si="13"/>
        <v>8</v>
      </c>
      <c r="AL19" s="32">
        <f t="shared" si="14"/>
        <v>0</v>
      </c>
      <c r="AM19" s="33">
        <f t="shared" si="15"/>
        <v>0</v>
      </c>
      <c r="AN19" s="34">
        <f t="shared" si="16"/>
        <v>8</v>
      </c>
      <c r="AO19" s="30">
        <f t="shared" si="17"/>
        <v>48</v>
      </c>
      <c r="AP19" s="30">
        <f t="shared" si="18"/>
        <v>10</v>
      </c>
      <c r="AQ19" s="25">
        <f t="shared" si="19"/>
        <v>38</v>
      </c>
      <c r="AR19" s="1"/>
      <c r="AS19" s="1"/>
      <c r="AT19" s="42">
        <f>AY19+COUNTIF(AY$15:AY18,AY19)</f>
        <v>1</v>
      </c>
      <c r="AU19" s="44" t="str">
        <f>+A19</f>
        <v>増尾レッドスターズ</v>
      </c>
      <c r="AV19" s="42">
        <f>+AN19</f>
        <v>8</v>
      </c>
      <c r="AW19" s="42">
        <f>+AH19</f>
        <v>4</v>
      </c>
      <c r="AX19" s="42">
        <f>+AH19+AI19+AJ19</f>
        <v>4</v>
      </c>
      <c r="AY19" s="42">
        <f>RANK(AV19,AV$16:AV$20)</f>
        <v>1</v>
      </c>
      <c r="AZ19" s="43">
        <f>VLOOKUP(ROW(AX4),$AT$16:$AZ$20,6,FALSE)</f>
        <v>3</v>
      </c>
      <c r="BA19" s="45" t="str">
        <f>VLOOKUP(ROW(AX4),$AT$16:$AY$20,2,FALSE)</f>
        <v>リトルベアーズ</v>
      </c>
      <c r="BB19" s="45">
        <f>VLOOKUP(ROW(AX4),$AT$16:$AY$20,3,FALSE)</f>
        <v>0</v>
      </c>
      <c r="BC19" s="45">
        <f>VLOOKUP(ROW(AX4),$AT$16:$AY$20,4,FALSE)</f>
        <v>0</v>
      </c>
      <c r="BD19" s="45">
        <f>VLOOKUP(ROW(AX4),$AT$16:$AY$20,5,FALSE)</f>
        <v>1</v>
      </c>
      <c r="BE19" s="55"/>
      <c r="BG19" s="42">
        <f>BJ19+COUNTIF(BJ$15:BJ18,BJ19)</f>
        <v>1</v>
      </c>
      <c r="BH19" s="44" t="str">
        <f>+AU19</f>
        <v>増尾レッドスターズ</v>
      </c>
      <c r="BI19" s="42">
        <f>COUNT(B19:AC19)/2</f>
        <v>4</v>
      </c>
      <c r="BJ19" s="42">
        <f>RANK(BI19,BI$16:BI$20)</f>
        <v>1</v>
      </c>
      <c r="BK19" s="43">
        <f>VLOOKUP(ROW(BK4),$BG$16:$BJ$20,4,FALSE)</f>
        <v>3</v>
      </c>
      <c r="BL19" s="45" t="str">
        <f>VLOOKUP(ROW(BL4),$BG$16:$BJ$20,2,FALSE)</f>
        <v>ありんこアントス</v>
      </c>
    </row>
    <row r="20" spans="1:64" ht="19.5" customHeight="1">
      <c r="A20" s="79" t="s">
        <v>82</v>
      </c>
      <c r="B20" s="36"/>
      <c r="C20" s="37">
        <v>5</v>
      </c>
      <c r="D20" s="37"/>
      <c r="E20" s="38">
        <v>14</v>
      </c>
      <c r="F20" s="36"/>
      <c r="G20" s="37"/>
      <c r="H20" s="37"/>
      <c r="I20" s="38"/>
      <c r="J20" s="36"/>
      <c r="K20" s="37"/>
      <c r="L20" s="37"/>
      <c r="M20" s="38"/>
      <c r="N20" s="36"/>
      <c r="O20" s="37">
        <v>6</v>
      </c>
      <c r="P20" s="37"/>
      <c r="Q20" s="38">
        <v>7</v>
      </c>
      <c r="R20" s="36"/>
      <c r="S20" s="37"/>
      <c r="T20" s="37"/>
      <c r="U20" s="38"/>
      <c r="V20" s="36"/>
      <c r="W20" s="37">
        <f>IF(U21="","",U21)</f>
      </c>
      <c r="X20" s="37"/>
      <c r="Y20" s="38">
        <f>IF(S21="","",S21)</f>
      </c>
      <c r="Z20" s="36"/>
      <c r="AA20" s="37">
        <f>IF(U22="","",U22)</f>
      </c>
      <c r="AB20" s="37"/>
      <c r="AC20" s="38">
        <f>IF(S22="","",S22)</f>
      </c>
      <c r="AD20" s="36"/>
      <c r="AE20" s="37">
        <f>IF(U23="","",U23)</f>
      </c>
      <c r="AF20" s="37"/>
      <c r="AG20" s="38">
        <f>IF(S23="","",S23)</f>
      </c>
      <c r="AH20" s="30">
        <f t="shared" si="10"/>
        <v>0</v>
      </c>
      <c r="AI20" s="30">
        <f t="shared" si="11"/>
        <v>2</v>
      </c>
      <c r="AJ20" s="30">
        <f t="shared" si="12"/>
        <v>0</v>
      </c>
      <c r="AK20" s="31">
        <f t="shared" si="13"/>
        <v>0</v>
      </c>
      <c r="AL20" s="32">
        <f t="shared" si="14"/>
        <v>0</v>
      </c>
      <c r="AM20" s="33">
        <f t="shared" si="15"/>
        <v>0</v>
      </c>
      <c r="AN20" s="34">
        <f t="shared" si="16"/>
        <v>0</v>
      </c>
      <c r="AO20" s="30">
        <f t="shared" si="17"/>
        <v>11</v>
      </c>
      <c r="AP20" s="30">
        <f t="shared" si="18"/>
        <v>21</v>
      </c>
      <c r="AQ20" s="25">
        <f t="shared" si="19"/>
        <v>-10</v>
      </c>
      <c r="AR20" s="1"/>
      <c r="AS20" s="1"/>
      <c r="AT20" s="42">
        <f>AY20+COUNTIF(AY$15:AY19,AY20)</f>
        <v>5</v>
      </c>
      <c r="AU20" s="44" t="str">
        <f>+A20</f>
        <v>ありんこアントス</v>
      </c>
      <c r="AV20" s="42">
        <f>+AN20</f>
        <v>0</v>
      </c>
      <c r="AW20" s="42">
        <f>+AH20</f>
        <v>0</v>
      </c>
      <c r="AX20" s="42">
        <f>+AH20+AI20+AJ20</f>
        <v>2</v>
      </c>
      <c r="AY20" s="42">
        <f>RANK(AV20,AV$16:AV$20)</f>
        <v>3</v>
      </c>
      <c r="AZ20" s="43">
        <f>VLOOKUP(ROW(AX5),$AT$16:$AZ$20,6,FALSE)</f>
        <v>3</v>
      </c>
      <c r="BA20" s="45" t="str">
        <f>VLOOKUP(ROW(AX5),$AT$16:$AY$20,2,FALSE)</f>
        <v>ありんこアントス</v>
      </c>
      <c r="BB20" s="45">
        <f>VLOOKUP(ROW(AX5),$AT$16:$AY$20,3,FALSE)</f>
        <v>0</v>
      </c>
      <c r="BC20" s="45">
        <f>VLOOKUP(ROW(AX5),$AT$16:$AY$20,4,FALSE)</f>
        <v>0</v>
      </c>
      <c r="BD20" s="45">
        <f>VLOOKUP(ROW(AX5),$AT$16:$AY$20,5,FALSE)</f>
        <v>2</v>
      </c>
      <c r="BE20" s="55"/>
      <c r="BG20" s="42">
        <f>BJ20+COUNTIF(BJ$15:BJ19,BJ20)</f>
        <v>4</v>
      </c>
      <c r="BH20" s="44" t="str">
        <f>+AU20</f>
        <v>ありんこアントス</v>
      </c>
      <c r="BI20" s="42">
        <f>COUNT(B20:AC20)/2</f>
        <v>2</v>
      </c>
      <c r="BJ20" s="42">
        <f>RANK(BI20,BI$16:BI$20)</f>
        <v>3</v>
      </c>
      <c r="BK20" s="43">
        <f>VLOOKUP(ROW(BK5),$BG$16:$BJ$20,4,FALSE)</f>
        <v>5</v>
      </c>
      <c r="BL20" s="45" t="str">
        <f>VLOOKUP(ROW(BL5),$BG$16:$BJ$20,2,FALSE)</f>
        <v>リトルベアーズ</v>
      </c>
    </row>
    <row r="21" spans="1:64" ht="19.5" customHeight="1">
      <c r="A21" s="79"/>
      <c r="B21" s="36"/>
      <c r="C21" s="37"/>
      <c r="D21" s="37"/>
      <c r="E21" s="38"/>
      <c r="F21" s="36"/>
      <c r="G21" s="37"/>
      <c r="H21" s="37"/>
      <c r="I21" s="38"/>
      <c r="J21" s="36"/>
      <c r="K21" s="37"/>
      <c r="L21" s="37"/>
      <c r="M21" s="38"/>
      <c r="N21" s="36"/>
      <c r="O21" s="37"/>
      <c r="P21" s="37"/>
      <c r="Q21" s="38"/>
      <c r="R21" s="36"/>
      <c r="S21" s="37"/>
      <c r="T21" s="37"/>
      <c r="U21" s="38"/>
      <c r="V21" s="36"/>
      <c r="W21" s="37"/>
      <c r="X21" s="37"/>
      <c r="Y21" s="38"/>
      <c r="Z21" s="36"/>
      <c r="AA21" s="37">
        <f>IF(Y22="","",Y22)</f>
      </c>
      <c r="AB21" s="37"/>
      <c r="AC21" s="38">
        <f>IF(W22="","",W22)</f>
      </c>
      <c r="AD21" s="36"/>
      <c r="AE21" s="37">
        <f>IF(Y23="","",Y23)</f>
      </c>
      <c r="AF21" s="37"/>
      <c r="AG21" s="38">
        <f>IF(W23="","",W23)</f>
      </c>
      <c r="AH21" s="30">
        <f t="shared" si="10"/>
        <v>0</v>
      </c>
      <c r="AI21" s="30">
        <f t="shared" si="11"/>
        <v>0</v>
      </c>
      <c r="AJ21" s="30">
        <f t="shared" si="12"/>
        <v>0</v>
      </c>
      <c r="AK21" s="31">
        <f t="shared" si="13"/>
        <v>0</v>
      </c>
      <c r="AL21" s="32">
        <f t="shared" si="14"/>
        <v>0</v>
      </c>
      <c r="AM21" s="33">
        <f t="shared" si="15"/>
        <v>0</v>
      </c>
      <c r="AN21" s="34">
        <f t="shared" si="16"/>
        <v>0</v>
      </c>
      <c r="AO21" s="30">
        <f t="shared" si="17"/>
        <v>0</v>
      </c>
      <c r="AP21" s="30">
        <f t="shared" si="18"/>
        <v>0</v>
      </c>
      <c r="AQ21" s="30">
        <f t="shared" si="19"/>
        <v>0</v>
      </c>
      <c r="AR21" s="1"/>
      <c r="AS21" s="1"/>
      <c r="AT21" s="42"/>
      <c r="AU21" s="44"/>
      <c r="AV21" s="42"/>
      <c r="AW21" s="42"/>
      <c r="AX21" s="42"/>
      <c r="AY21" s="42"/>
      <c r="AZ21" s="43"/>
      <c r="BA21" s="45"/>
      <c r="BB21" s="45"/>
      <c r="BC21" s="45"/>
      <c r="BD21" s="45"/>
      <c r="BE21" s="55"/>
      <c r="BG21" s="42"/>
      <c r="BH21" s="44"/>
      <c r="BI21" s="42"/>
      <c r="BJ21" s="42"/>
      <c r="BK21" s="43"/>
      <c r="BL21" s="45"/>
    </row>
    <row r="22" spans="1:64" ht="19.5" customHeight="1">
      <c r="A22" s="79"/>
      <c r="B22" s="36"/>
      <c r="C22" s="37"/>
      <c r="D22" s="37"/>
      <c r="E22" s="38"/>
      <c r="F22" s="36"/>
      <c r="G22" s="37"/>
      <c r="H22" s="37"/>
      <c r="I22" s="38"/>
      <c r="J22" s="36"/>
      <c r="K22" s="37"/>
      <c r="L22" s="37"/>
      <c r="M22" s="38"/>
      <c r="N22" s="36"/>
      <c r="O22" s="37"/>
      <c r="P22" s="37"/>
      <c r="Q22" s="38"/>
      <c r="R22" s="36"/>
      <c r="S22" s="37"/>
      <c r="T22" s="37"/>
      <c r="U22" s="38"/>
      <c r="V22" s="36"/>
      <c r="W22" s="37"/>
      <c r="X22" s="37"/>
      <c r="Y22" s="38"/>
      <c r="Z22" s="36"/>
      <c r="AA22" s="37"/>
      <c r="AB22" s="37"/>
      <c r="AC22" s="38"/>
      <c r="AD22" s="36"/>
      <c r="AE22" s="37">
        <f>IF(AC23="","",AC23)</f>
      </c>
      <c r="AF22" s="37"/>
      <c r="AG22" s="38">
        <f>IF(AA23="","",AA23)</f>
      </c>
      <c r="AH22" s="30">
        <f t="shared" si="10"/>
        <v>0</v>
      </c>
      <c r="AI22" s="30">
        <f t="shared" si="11"/>
        <v>0</v>
      </c>
      <c r="AJ22" s="30">
        <f t="shared" si="12"/>
        <v>0</v>
      </c>
      <c r="AK22" s="31">
        <f t="shared" si="13"/>
        <v>0</v>
      </c>
      <c r="AL22" s="32">
        <f t="shared" si="14"/>
        <v>0</v>
      </c>
      <c r="AM22" s="33">
        <f t="shared" si="15"/>
        <v>0</v>
      </c>
      <c r="AN22" s="34">
        <f t="shared" si="16"/>
        <v>0</v>
      </c>
      <c r="AO22" s="30">
        <f t="shared" si="17"/>
        <v>0</v>
      </c>
      <c r="AP22" s="30">
        <f t="shared" si="18"/>
        <v>0</v>
      </c>
      <c r="AQ22" s="30">
        <f t="shared" si="19"/>
        <v>0</v>
      </c>
      <c r="AR22" s="1"/>
      <c r="AS22" s="1"/>
      <c r="AT22" s="42"/>
      <c r="AU22" s="44"/>
      <c r="AV22" s="42"/>
      <c r="AW22" s="42"/>
      <c r="AX22" s="42"/>
      <c r="AY22" s="42"/>
      <c r="AZ22" s="43"/>
      <c r="BA22" s="45"/>
      <c r="BB22" s="45"/>
      <c r="BC22" s="45"/>
      <c r="BD22" s="45"/>
      <c r="BE22" s="55"/>
      <c r="BG22" s="42"/>
      <c r="BH22" s="44"/>
      <c r="BI22" s="42"/>
      <c r="BJ22" s="42"/>
      <c r="BK22" s="43"/>
      <c r="BL22" s="45"/>
    </row>
    <row r="23" spans="1:64" ht="19.5" customHeight="1">
      <c r="A23" s="79"/>
      <c r="B23" s="36"/>
      <c r="C23" s="37"/>
      <c r="D23" s="37"/>
      <c r="E23" s="38"/>
      <c r="F23" s="36"/>
      <c r="G23" s="37"/>
      <c r="H23" s="37"/>
      <c r="I23" s="38"/>
      <c r="J23" s="36"/>
      <c r="K23" s="37"/>
      <c r="L23" s="37"/>
      <c r="M23" s="38"/>
      <c r="N23" s="36"/>
      <c r="O23" s="37"/>
      <c r="P23" s="37"/>
      <c r="Q23" s="38"/>
      <c r="R23" s="36"/>
      <c r="S23" s="37"/>
      <c r="T23" s="37"/>
      <c r="U23" s="38"/>
      <c r="V23" s="36"/>
      <c r="W23" s="37"/>
      <c r="X23" s="37"/>
      <c r="Y23" s="38"/>
      <c r="Z23" s="36"/>
      <c r="AA23" s="37"/>
      <c r="AB23" s="37"/>
      <c r="AC23" s="38"/>
      <c r="AD23" s="36"/>
      <c r="AE23" s="37"/>
      <c r="AF23" s="37"/>
      <c r="AG23" s="38"/>
      <c r="AH23" s="30">
        <f>IF(C23&gt;E23,1,0)+IF(G23&gt;I23,1,0)+IF(K23&gt;M23,1,0)+IF(O23&gt;Q23,1,0)+IF(S23&gt;U23,1,0)+IF(W23&gt;Y23,1,0)+IF(AA23&gt;AC23,1,0)+IF(AE23&gt;AG23,1,0)</f>
        <v>0</v>
      </c>
      <c r="AI23" s="30">
        <f>IF(C23&lt;E23,1,0)+IF(G23&lt;I23,1,0)+IF(K23&lt;M23,1,0)+IF(O23&lt;Q23,1,0)+IF(S23&lt;U23,1,0)+IF(W23&lt;Y23,1,0)+IF(AA23&lt;AC23,1,0)+IF(AE23&lt;AG23,1,0)</f>
        <v>0</v>
      </c>
      <c r="AJ23" s="30">
        <f>IF(AND(ISNUMBER(C23),C23=E23),1,0)+IF(AND(ISNUMBER(G23),G23=I23),1,0)+IF(AND(ISNUMBER(K23),K23=M23),1,)+IF(AND(ISNUMBER(O23),O23=Q23),1,0)+IF(AND(ISNUMBER(S23),S23=U23),1,0)+IF(AND(ISNUMBER(W23),W23=Y23),1,0)+IF(AND(ISNUMBER(AA23),AA23=AC23),1,0)+IF(AND(ISNUMBER(AE23),AE23=AG23),1,0)</f>
        <v>0</v>
      </c>
      <c r="AK23" s="31">
        <f>AH23*2</f>
        <v>0</v>
      </c>
      <c r="AL23" s="32">
        <f>AI23*0</f>
        <v>0</v>
      </c>
      <c r="AM23" s="33">
        <f>AJ23*1</f>
        <v>0</v>
      </c>
      <c r="AN23" s="34">
        <f>AK23+AL23+AM23</f>
        <v>0</v>
      </c>
      <c r="AO23" s="30">
        <f>IF(ISNUMBER(G23),G23,0)+IF(ISNUMBER(K23),K23,0)+IF(ISNUMBER(O23),O23,0)+IF(ISNUMBER(AA23),AA23,0)+IF(ISNUMBER(AE23),AE23,0)+IF(ISNUMBER(S23),S23,0)+IF(ISNUMBER(W23),W23,0)+IF(ISNUMBER(C23),C23,0)</f>
        <v>0</v>
      </c>
      <c r="AP23" s="30">
        <f>IF(ISNUMBER(I23),I23,0)+IF(ISNUMBER(M23),M23,0)+IF(ISNUMBER(Q23),Q23,0)+IF(ISNUMBER(AC23),AC23,0)+IF(ISNUMBER(AG23),AG23,0)+IF(ISNUMBER(U23),U23,0)+IF(ISNUMBER(Y23),Y23,0)+IF(ISNUMBER(E23),E23,0)</f>
        <v>0</v>
      </c>
      <c r="AQ23" s="30">
        <f>AO23-AP23</f>
        <v>0</v>
      </c>
      <c r="AR23" s="1"/>
      <c r="AS23" s="1"/>
      <c r="AT23" s="42"/>
      <c r="AU23" s="44"/>
      <c r="AV23" s="42"/>
      <c r="AW23" s="42"/>
      <c r="AX23" s="42"/>
      <c r="AY23" s="42"/>
      <c r="AZ23" s="43"/>
      <c r="BA23" s="45"/>
      <c r="BB23" s="45"/>
      <c r="BC23" s="45"/>
      <c r="BD23" s="45"/>
      <c r="BE23" s="55"/>
      <c r="BG23" s="42"/>
      <c r="BH23" s="44"/>
      <c r="BI23" s="42"/>
      <c r="BJ23" s="42"/>
      <c r="BK23" s="43"/>
      <c r="BL23" s="45"/>
    </row>
    <row r="24" spans="1:64" ht="19.5" customHeight="1">
      <c r="A24" s="7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>
        <f>SUM(AH16:AH23)</f>
        <v>6</v>
      </c>
      <c r="AJ24" s="6">
        <f>SUM(AI16:AI23)</f>
        <v>6</v>
      </c>
      <c r="AK24" s="6">
        <f>SUM(AJ16:AJ23)</f>
        <v>0</v>
      </c>
      <c r="AL24" s="6"/>
      <c r="AM24" s="6"/>
      <c r="AN24" s="1"/>
      <c r="AO24" s="6">
        <f>SUM(AO16:AO23)</f>
        <v>92</v>
      </c>
      <c r="AP24" s="6">
        <f>SUM(AP16:AP23)</f>
        <v>92</v>
      </c>
      <c r="AQ24" s="6">
        <f>SUM(AQ16:AQ23)</f>
        <v>0</v>
      </c>
      <c r="AT24" s="46"/>
      <c r="AU24" s="47"/>
      <c r="AV24" s="46"/>
      <c r="AW24" s="46"/>
      <c r="AX24" s="46"/>
      <c r="AY24" s="46"/>
      <c r="AZ24" s="48"/>
      <c r="BA24" s="49"/>
      <c r="BB24" s="55"/>
      <c r="BC24" s="55"/>
      <c r="BD24" s="55"/>
      <c r="BE24" s="55"/>
      <c r="BF24" s="50"/>
      <c r="BG24" s="46"/>
      <c r="BH24" s="47"/>
      <c r="BI24" s="46">
        <f>SUM(BI16:BI23)/2</f>
        <v>6</v>
      </c>
      <c r="BJ24" s="3">
        <f>5*4/2</f>
        <v>10</v>
      </c>
      <c r="BK24" s="48"/>
      <c r="BL24" s="49"/>
    </row>
    <row r="25" spans="1:47" ht="19.5" customHeight="1">
      <c r="A25" s="4" t="s">
        <v>2</v>
      </c>
      <c r="B25" s="73" t="s">
        <v>53</v>
      </c>
      <c r="C25" s="51"/>
      <c r="D25" s="51"/>
      <c r="E25" s="51"/>
      <c r="F25" s="51"/>
      <c r="G25" s="171" t="str">
        <f>"１日"&amp;ROUND((BJ35-BI35)/'戦績'!N42,1)&amp;"試合"</f>
        <v>１日0試合</v>
      </c>
      <c r="H25" s="171"/>
      <c r="I25" s="171"/>
      <c r="J25" s="171"/>
      <c r="K25" s="163" t="s">
        <v>25</v>
      </c>
      <c r="L25" s="163"/>
      <c r="M25" s="163"/>
      <c r="N25" s="163"/>
      <c r="O25" s="173" t="str">
        <f>IF(C61&gt;C60,+BA27,"")</f>
        <v>吉川ドリームズ</v>
      </c>
      <c r="P25" s="173"/>
      <c r="Q25" s="173"/>
      <c r="R25" s="173"/>
      <c r="S25" s="173"/>
      <c r="T25" s="52"/>
      <c r="U25" s="163" t="s">
        <v>22</v>
      </c>
      <c r="V25" s="163"/>
      <c r="W25" s="163"/>
      <c r="X25" s="163"/>
      <c r="Y25" s="165" t="str">
        <f>IF(C61&gt;C60,+BA28,"")</f>
        <v>常盤平ボーイズ</v>
      </c>
      <c r="Z25" s="165"/>
      <c r="AA25" s="165"/>
      <c r="AB25" s="165"/>
      <c r="AC25" s="165"/>
      <c r="AD25" s="165"/>
      <c r="AE25" s="1"/>
      <c r="AF25" s="54" t="s">
        <v>26</v>
      </c>
      <c r="AG25" s="1"/>
      <c r="AH25" s="1"/>
      <c r="AI25" s="1"/>
      <c r="AJ25" s="169">
        <f>+BI35/(MAX(AT27:AT34)*(MAX(AT27:AT34)-1)/2)</f>
        <v>0.5</v>
      </c>
      <c r="AK25" s="169"/>
      <c r="AL25" s="60">
        <f>IF(AI24=AJ24,"","計算間違い")</f>
      </c>
      <c r="AM25" s="1"/>
      <c r="AN25" s="1"/>
      <c r="AO25" s="1"/>
      <c r="AP25" s="60">
        <f>IF(AK24/2=TRUNC(AK24/2,0),"","計算間違い")</f>
      </c>
      <c r="AQ25" s="1"/>
      <c r="AR25" s="1"/>
      <c r="AS25" s="1"/>
      <c r="AT25" s="1"/>
      <c r="AU25" s="1"/>
    </row>
    <row r="26" spans="1:61" ht="19.5" customHeight="1">
      <c r="A26" s="68"/>
      <c r="B26" s="164" t="str">
        <f>+A27</f>
        <v>常盤平ボーイズ</v>
      </c>
      <c r="C26" s="164"/>
      <c r="D26" s="164"/>
      <c r="E26" s="164"/>
      <c r="F26" s="164" t="str">
        <f>+A28</f>
        <v>八柱サンジュニアーズ</v>
      </c>
      <c r="G26" s="164"/>
      <c r="H26" s="164"/>
      <c r="I26" s="164"/>
      <c r="J26" s="164" t="str">
        <f>+A29</f>
        <v>小金原ビクトリー</v>
      </c>
      <c r="K26" s="164"/>
      <c r="L26" s="164"/>
      <c r="M26" s="164"/>
      <c r="N26" s="164" t="str">
        <f>+A30</f>
        <v>柏南・新柏ツィンズ</v>
      </c>
      <c r="O26" s="164"/>
      <c r="P26" s="164"/>
      <c r="Q26" s="164"/>
      <c r="R26" s="164" t="str">
        <f>+A31</f>
        <v>吉川ドリームズ</v>
      </c>
      <c r="S26" s="164"/>
      <c r="T26" s="164"/>
      <c r="U26" s="164"/>
      <c r="V26" s="164"/>
      <c r="W26" s="164"/>
      <c r="X26" s="164"/>
      <c r="Y26" s="164"/>
      <c r="Z26" s="164"/>
      <c r="AA26" s="164"/>
      <c r="AB26" s="164"/>
      <c r="AC26" s="164"/>
      <c r="AD26" s="166"/>
      <c r="AE26" s="167"/>
      <c r="AF26" s="167"/>
      <c r="AG26" s="168"/>
      <c r="AH26" s="25" t="s">
        <v>4</v>
      </c>
      <c r="AI26" s="25" t="s">
        <v>5</v>
      </c>
      <c r="AJ26" s="25" t="s">
        <v>6</v>
      </c>
      <c r="AK26" s="26" t="s">
        <v>11</v>
      </c>
      <c r="AL26" s="27" t="s">
        <v>12</v>
      </c>
      <c r="AM26" s="28" t="s">
        <v>13</v>
      </c>
      <c r="AN26" s="29" t="s">
        <v>7</v>
      </c>
      <c r="AO26" s="25" t="s">
        <v>8</v>
      </c>
      <c r="AP26" s="25" t="s">
        <v>9</v>
      </c>
      <c r="AQ26" s="25" t="s">
        <v>10</v>
      </c>
      <c r="AR26" s="1"/>
      <c r="AS26" s="1"/>
      <c r="AU26" s="3" t="s">
        <v>17</v>
      </c>
      <c r="AV26" s="3" t="s">
        <v>18</v>
      </c>
      <c r="BH26" s="3" t="s">
        <v>17</v>
      </c>
      <c r="BI26" s="3" t="s">
        <v>19</v>
      </c>
    </row>
    <row r="27" spans="1:64" ht="19.5" customHeight="1">
      <c r="A27" s="129" t="s">
        <v>96</v>
      </c>
      <c r="B27" s="36"/>
      <c r="C27" s="37"/>
      <c r="D27" s="37"/>
      <c r="E27" s="38"/>
      <c r="F27" s="36"/>
      <c r="G27" s="37">
        <f>IF(E28="","",E28)</f>
      </c>
      <c r="H27" s="37"/>
      <c r="I27" s="38">
        <f>IF(C28="","",C28)</f>
      </c>
      <c r="J27" s="36"/>
      <c r="K27" s="37">
        <f>IF(E29="","",E29)</f>
      </c>
      <c r="L27" s="37"/>
      <c r="M27" s="38">
        <f>IF(C29="","",C29)</f>
      </c>
      <c r="N27" s="36"/>
      <c r="O27" s="37">
        <f>IF(E30="","",E30)</f>
        <v>7</v>
      </c>
      <c r="P27" s="37"/>
      <c r="Q27" s="38">
        <f>IF(C30="","",C30)</f>
        <v>3</v>
      </c>
      <c r="R27" s="36"/>
      <c r="S27" s="37">
        <f>IF(E31="","",E31)</f>
        <v>11</v>
      </c>
      <c r="T27" s="37"/>
      <c r="U27" s="38">
        <f>IF(C31="","",C31)</f>
        <v>4</v>
      </c>
      <c r="V27" s="36"/>
      <c r="W27" s="37">
        <f>IF(E32="","",E32)</f>
      </c>
      <c r="X27" s="37"/>
      <c r="Y27" s="38">
        <f>IF(C32="","",C32)</f>
      </c>
      <c r="Z27" s="36"/>
      <c r="AA27" s="37">
        <f>IF(E33="","",E33)</f>
      </c>
      <c r="AB27" s="37"/>
      <c r="AC27" s="38">
        <f>IF(C33="","",C33)</f>
      </c>
      <c r="AD27" s="36"/>
      <c r="AE27" s="37">
        <f>IF(E34="","",E34)</f>
      </c>
      <c r="AF27" s="37"/>
      <c r="AG27" s="38">
        <f>IF(C34="","",C34)</f>
      </c>
      <c r="AH27" s="30">
        <f aca="true" t="shared" si="20" ref="AH27:AH32">IF(C27&gt;E27,1,0)+IF(G27&gt;I27,1,0)+IF(K27&gt;M27,1,0)+IF(O27&gt;Q27,1,0)+IF(S27&gt;U27,1,0)+IF(W27&gt;Y27,1,0)+IF(AA27&gt;AC27,1,0)+IF(AE27&gt;AG27,1,0)</f>
        <v>2</v>
      </c>
      <c r="AI27" s="30">
        <f aca="true" t="shared" si="21" ref="AI27:AI32">IF(C27&lt;E27,1,0)+IF(G27&lt;I27,1,0)+IF(K27&lt;M27,1,0)+IF(O27&lt;Q27,1,0)+IF(S27&lt;U27,1,0)+IF(W27&lt;Y27,1,0)+IF(AA27&lt;AC27,1,0)+IF(AE27&lt;AG27,1,0)</f>
        <v>0</v>
      </c>
      <c r="AJ27" s="30">
        <f aca="true" t="shared" si="22" ref="AJ27:AJ32">IF(AND(ISNUMBER(C27),C27=E27),1,0)+IF(AND(ISNUMBER(G27),G27=I27),1,0)+IF(AND(ISNUMBER(K27),K27=M27),1,)+IF(AND(ISNUMBER(O27),O27=Q27),1,0)+IF(AND(ISNUMBER(S27),S27=U27),1,0)+IF(AND(ISNUMBER(W27),W27=Y27),1,0)+IF(AND(ISNUMBER(AA27),AA27=AC27),1,0)+IF(AND(ISNUMBER(AE27),AE27=AG27),1,0)</f>
        <v>0</v>
      </c>
      <c r="AK27" s="31">
        <f aca="true" t="shared" si="23" ref="AK27:AK32">AH27*2</f>
        <v>4</v>
      </c>
      <c r="AL27" s="32">
        <f aca="true" t="shared" si="24" ref="AL27:AL32">AI27*0</f>
        <v>0</v>
      </c>
      <c r="AM27" s="33">
        <f aca="true" t="shared" si="25" ref="AM27:AM32">AJ27*1</f>
        <v>0</v>
      </c>
      <c r="AN27" s="34">
        <f aca="true" t="shared" si="26" ref="AN27:AN32">AK27+AL27+AM27</f>
        <v>4</v>
      </c>
      <c r="AO27" s="30">
        <f aca="true" t="shared" si="27" ref="AO27:AO32">IF(ISNUMBER(G27),G27,0)+IF(ISNUMBER(K27),K27,0)+IF(ISNUMBER(O27),O27,0)+IF(ISNUMBER(AA27),AA27,0)+IF(ISNUMBER(AE27),AE27,0)+IF(ISNUMBER(S27),S27,0)+IF(ISNUMBER(W27),W27,0)+IF(ISNUMBER(C27),C27,0)</f>
        <v>18</v>
      </c>
      <c r="AP27" s="30">
        <f aca="true" t="shared" si="28" ref="AP27:AP32">IF(ISNUMBER(I27),I27,0)+IF(ISNUMBER(M27),M27,0)+IF(ISNUMBER(Q27),Q27,0)+IF(ISNUMBER(AC27),AC27,0)+IF(ISNUMBER(AG27),AG27,0)+IF(ISNUMBER(U27),U27,0)+IF(ISNUMBER(Y27),Y27,0)+IF(ISNUMBER(E27),E27,0)</f>
        <v>7</v>
      </c>
      <c r="AQ27" s="30">
        <f aca="true" t="shared" si="29" ref="AQ27:AQ32">AO27-AP27</f>
        <v>11</v>
      </c>
      <c r="AR27" s="1"/>
      <c r="AS27" s="1"/>
      <c r="AT27" s="42">
        <f>AY27+COUNTIF(AY$26:AY26,AY27)</f>
        <v>2</v>
      </c>
      <c r="AU27" s="44" t="str">
        <f>+A27</f>
        <v>常盤平ボーイズ</v>
      </c>
      <c r="AV27" s="42">
        <f>+AN27</f>
        <v>4</v>
      </c>
      <c r="AW27" s="42">
        <f>+AH27</f>
        <v>2</v>
      </c>
      <c r="AX27" s="42">
        <f>+AH27+AI27+AJ27</f>
        <v>2</v>
      </c>
      <c r="AY27" s="42">
        <f>RANK(AV27,AV$27:AV$31)</f>
        <v>2</v>
      </c>
      <c r="AZ27" s="43">
        <f>VLOOKUP(ROW(AX1),$AT$27:$AZ$31,6,FALSE)</f>
        <v>1</v>
      </c>
      <c r="BA27" s="45" t="str">
        <f>VLOOKUP(ROW(AX1),$AT$27:$AY$31,2,FALSE)</f>
        <v>吉川ドリームズ</v>
      </c>
      <c r="BB27" s="45">
        <f>VLOOKUP(ROW(AX1),$AT$27:$AY$31,3,FALSE)</f>
        <v>6</v>
      </c>
      <c r="BC27" s="45">
        <f>VLOOKUP(ROW(AX1),$AT$27:$AY$31,4,FALSE)</f>
        <v>3</v>
      </c>
      <c r="BD27" s="45">
        <f>VLOOKUP(ROW(AX1),$AT$27:$AY$31,5,FALSE)</f>
        <v>4</v>
      </c>
      <c r="BE27" s="55"/>
      <c r="BG27" s="42">
        <f>BJ27+COUNTIF(BJ$26:BJ26,BJ27)</f>
        <v>2</v>
      </c>
      <c r="BH27" s="44" t="str">
        <f>+AU27</f>
        <v>常盤平ボーイズ</v>
      </c>
      <c r="BI27" s="42">
        <f>COUNT(B27:Y27)/2</f>
        <v>2</v>
      </c>
      <c r="BJ27" s="42">
        <f>RANK(BI27,BI$27:BI$31)</f>
        <v>2</v>
      </c>
      <c r="BK27" s="43">
        <f>VLOOKUP(ROW(BK1),$BG$27:$BJ$31,4,FALSE)</f>
        <v>1</v>
      </c>
      <c r="BL27" s="45" t="str">
        <f>VLOOKUP(ROW(BL1),$BG$27:$BJ$31,2,FALSE)</f>
        <v>吉川ドリームズ</v>
      </c>
    </row>
    <row r="28" spans="1:64" ht="19.5" customHeight="1">
      <c r="A28" s="79" t="s">
        <v>73</v>
      </c>
      <c r="B28" s="36"/>
      <c r="C28" s="37"/>
      <c r="D28" s="37"/>
      <c r="E28" s="38"/>
      <c r="F28" s="36"/>
      <c r="G28" s="37"/>
      <c r="H28" s="37"/>
      <c r="I28" s="38"/>
      <c r="J28" s="36"/>
      <c r="K28" s="37">
        <f>IF(I29="","",I29)</f>
      </c>
      <c r="L28" s="37"/>
      <c r="M28" s="38">
        <f>IF(G29="","",G29)</f>
      </c>
      <c r="N28" s="36"/>
      <c r="O28" s="37">
        <f>IF(I30="","",I30)</f>
      </c>
      <c r="P28" s="37"/>
      <c r="Q28" s="38">
        <f>IF(G30="","",G30)</f>
      </c>
      <c r="R28" s="36"/>
      <c r="S28" s="37">
        <f>IF(I31="","",I31)</f>
        <v>8</v>
      </c>
      <c r="T28" s="37"/>
      <c r="U28" s="38">
        <f>IF(G31="","",G31)</f>
        <v>9</v>
      </c>
      <c r="V28" s="36"/>
      <c r="W28" s="37">
        <f>IF(I32="","",I32)</f>
      </c>
      <c r="X28" s="37"/>
      <c r="Y28" s="38">
        <f>IF(G32="","",G32)</f>
      </c>
      <c r="Z28" s="36"/>
      <c r="AA28" s="37">
        <f>IF(I33="","",I33)</f>
      </c>
      <c r="AB28" s="37"/>
      <c r="AC28" s="38">
        <f>IF(G33="","",G33)</f>
      </c>
      <c r="AD28" s="36"/>
      <c r="AE28" s="37">
        <f>IF(I34="","",I34)</f>
      </c>
      <c r="AF28" s="37"/>
      <c r="AG28" s="38">
        <f>IF(G34="","",G34)</f>
      </c>
      <c r="AH28" s="30">
        <f t="shared" si="20"/>
        <v>0</v>
      </c>
      <c r="AI28" s="30">
        <f t="shared" si="21"/>
        <v>1</v>
      </c>
      <c r="AJ28" s="30">
        <f t="shared" si="22"/>
        <v>0</v>
      </c>
      <c r="AK28" s="31">
        <f t="shared" si="23"/>
        <v>0</v>
      </c>
      <c r="AL28" s="32">
        <f t="shared" si="24"/>
        <v>0</v>
      </c>
      <c r="AM28" s="33">
        <f t="shared" si="25"/>
        <v>0</v>
      </c>
      <c r="AN28" s="34">
        <f t="shared" si="26"/>
        <v>0</v>
      </c>
      <c r="AO28" s="30">
        <f t="shared" si="27"/>
        <v>8</v>
      </c>
      <c r="AP28" s="30">
        <f t="shared" si="28"/>
        <v>9</v>
      </c>
      <c r="AQ28" s="25">
        <f t="shared" si="29"/>
        <v>-1</v>
      </c>
      <c r="AR28" s="1"/>
      <c r="AS28" s="1"/>
      <c r="AT28" s="42">
        <f>AY28+COUNTIF(AY$26:AY27,AY28)</f>
        <v>3</v>
      </c>
      <c r="AU28" s="44" t="str">
        <f>+A28</f>
        <v>八柱サンジュニアーズ</v>
      </c>
      <c r="AV28" s="42">
        <f>+AN28</f>
        <v>0</v>
      </c>
      <c r="AW28" s="42">
        <f>+AH28</f>
        <v>0</v>
      </c>
      <c r="AX28" s="42">
        <f>+AH28+AI28+AJ28</f>
        <v>1</v>
      </c>
      <c r="AY28" s="42">
        <f>RANK(AV28,AV$27:AV$31)</f>
        <v>3</v>
      </c>
      <c r="AZ28" s="43">
        <f>VLOOKUP(ROW(AX2),$AT$27:$AZ$31,6,FALSE)</f>
        <v>2</v>
      </c>
      <c r="BA28" s="45" t="str">
        <f>VLOOKUP(ROW(AX2),$AT$27:$AY$31,2,FALSE)</f>
        <v>常盤平ボーイズ</v>
      </c>
      <c r="BB28" s="45">
        <f>VLOOKUP(ROW(AX2),$AT$27:$AY$31,3,FALSE)</f>
        <v>4</v>
      </c>
      <c r="BC28" s="45">
        <f>VLOOKUP(ROW(AX2),$AT$27:$AY$31,4,FALSE)</f>
        <v>2</v>
      </c>
      <c r="BD28" s="45">
        <f>VLOOKUP(ROW(AX2),$AT$27:$AY$31,5,FALSE)</f>
        <v>2</v>
      </c>
      <c r="BE28" s="55"/>
      <c r="BG28" s="42">
        <f>BJ28+COUNTIF(BJ$26:BJ27,BJ28)</f>
        <v>4</v>
      </c>
      <c r="BH28" s="44" t="str">
        <f>+AU28</f>
        <v>八柱サンジュニアーズ</v>
      </c>
      <c r="BI28" s="42">
        <f>COUNT(B28:Y28)/2</f>
        <v>1</v>
      </c>
      <c r="BJ28" s="42">
        <f>RANK(BI28,BI$27:BI$31)</f>
        <v>4</v>
      </c>
      <c r="BK28" s="43">
        <f>VLOOKUP(ROW(BK2),$BG$27:$BJ$31,4,FALSE)</f>
        <v>2</v>
      </c>
      <c r="BL28" s="45" t="str">
        <f>VLOOKUP(ROW(BL2),$BG$27:$BJ$31,2,FALSE)</f>
        <v>常盤平ボーイズ</v>
      </c>
    </row>
    <row r="29" spans="1:64" ht="19.5" customHeight="1">
      <c r="A29" s="79" t="s">
        <v>63</v>
      </c>
      <c r="B29" s="36"/>
      <c r="C29" s="37"/>
      <c r="D29" s="37"/>
      <c r="E29" s="38"/>
      <c r="F29" s="36"/>
      <c r="G29" s="37"/>
      <c r="H29" s="37"/>
      <c r="I29" s="38"/>
      <c r="J29" s="36"/>
      <c r="K29" s="37"/>
      <c r="L29" s="37"/>
      <c r="M29" s="38"/>
      <c r="N29" s="36"/>
      <c r="O29" s="37">
        <f>IF(M30="","",M30)</f>
      </c>
      <c r="P29" s="37"/>
      <c r="Q29" s="38">
        <f>IF(K30="","",K30)</f>
      </c>
      <c r="R29" s="36"/>
      <c r="S29" s="37">
        <f>IF(M31="","",M31)</f>
        <v>2</v>
      </c>
      <c r="T29" s="37"/>
      <c r="U29" s="38">
        <f>IF(K31="","",K31)</f>
        <v>6</v>
      </c>
      <c r="V29" s="36"/>
      <c r="W29" s="37">
        <f>IF(M32="","",M32)</f>
      </c>
      <c r="X29" s="37"/>
      <c r="Y29" s="38">
        <f>IF(K32="","",K32)</f>
      </c>
      <c r="Z29" s="36"/>
      <c r="AA29" s="37">
        <f>IF(M33="","",M33)</f>
      </c>
      <c r="AB29" s="37"/>
      <c r="AC29" s="38">
        <f>IF(K33="","",K33)</f>
      </c>
      <c r="AD29" s="36"/>
      <c r="AE29" s="37">
        <f>IF(M34="","",M34)</f>
      </c>
      <c r="AF29" s="37"/>
      <c r="AG29" s="38">
        <f>IF(K34="","",K34)</f>
      </c>
      <c r="AH29" s="30">
        <f t="shared" si="20"/>
        <v>0</v>
      </c>
      <c r="AI29" s="30">
        <f t="shared" si="21"/>
        <v>1</v>
      </c>
      <c r="AJ29" s="30">
        <f t="shared" si="22"/>
        <v>0</v>
      </c>
      <c r="AK29" s="31">
        <f t="shared" si="23"/>
        <v>0</v>
      </c>
      <c r="AL29" s="32">
        <f t="shared" si="24"/>
        <v>0</v>
      </c>
      <c r="AM29" s="33">
        <f t="shared" si="25"/>
        <v>0</v>
      </c>
      <c r="AN29" s="34">
        <f t="shared" si="26"/>
        <v>0</v>
      </c>
      <c r="AO29" s="30">
        <f t="shared" si="27"/>
        <v>2</v>
      </c>
      <c r="AP29" s="30">
        <f t="shared" si="28"/>
        <v>6</v>
      </c>
      <c r="AQ29" s="35">
        <f t="shared" si="29"/>
        <v>-4</v>
      </c>
      <c r="AR29" s="1"/>
      <c r="AS29" s="1"/>
      <c r="AT29" s="42">
        <f>AY29+COUNTIF(AY$26:AY28,AY29)</f>
        <v>4</v>
      </c>
      <c r="AU29" s="44" t="str">
        <f>+A29</f>
        <v>小金原ビクトリー</v>
      </c>
      <c r="AV29" s="42">
        <f>+AN29</f>
        <v>0</v>
      </c>
      <c r="AW29" s="42">
        <f>+AH29</f>
        <v>0</v>
      </c>
      <c r="AX29" s="42">
        <f>+AH29+AI29+AJ29</f>
        <v>1</v>
      </c>
      <c r="AY29" s="42">
        <f>RANK(AV29,AV$27:AV$31)</f>
        <v>3</v>
      </c>
      <c r="AZ29" s="43">
        <f>VLOOKUP(ROW(AX3),$AT$27:$AZ$31,6,FALSE)</f>
        <v>3</v>
      </c>
      <c r="BA29" s="45" t="str">
        <f>VLOOKUP(ROW(AX3),$AT$27:$AY$31,2,FALSE)</f>
        <v>八柱サンジュニアーズ</v>
      </c>
      <c r="BB29" s="45">
        <f>VLOOKUP(ROW(AX3),$AT$27:$AY$31,3,FALSE)</f>
        <v>0</v>
      </c>
      <c r="BC29" s="45">
        <f>VLOOKUP(ROW(AX3),$AT$27:$AY$31,4,FALSE)</f>
        <v>0</v>
      </c>
      <c r="BD29" s="45">
        <f>VLOOKUP(ROW(AX3),$AT$27:$AY$31,5,FALSE)</f>
        <v>1</v>
      </c>
      <c r="BE29" s="55"/>
      <c r="BG29" s="42">
        <f>BJ29+COUNTIF(BJ$26:BJ28,BJ29)</f>
        <v>5</v>
      </c>
      <c r="BH29" s="44" t="str">
        <f>+AU29</f>
        <v>小金原ビクトリー</v>
      </c>
      <c r="BI29" s="42">
        <f>COUNT(B29:Y29)/2</f>
        <v>1</v>
      </c>
      <c r="BJ29" s="42">
        <f>RANK(BI29,BI$27:BI$31)</f>
        <v>4</v>
      </c>
      <c r="BK29" s="43">
        <f>VLOOKUP(ROW(BK3),$BG$27:$BJ$31,4,FALSE)</f>
        <v>2</v>
      </c>
      <c r="BL29" s="45" t="str">
        <f>VLOOKUP(ROW(BL3),$BG$27:$BJ$31,2,FALSE)</f>
        <v>柏南・新柏ツィンズ</v>
      </c>
    </row>
    <row r="30" spans="1:64" ht="19.5" customHeight="1">
      <c r="A30" s="79" t="s">
        <v>95</v>
      </c>
      <c r="B30" s="36"/>
      <c r="C30" s="37">
        <v>3</v>
      </c>
      <c r="D30" s="37"/>
      <c r="E30" s="38">
        <v>7</v>
      </c>
      <c r="F30" s="36"/>
      <c r="G30" s="37"/>
      <c r="H30" s="37"/>
      <c r="I30" s="38"/>
      <c r="J30" s="36"/>
      <c r="K30" s="37"/>
      <c r="L30" s="37"/>
      <c r="M30" s="38"/>
      <c r="N30" s="36"/>
      <c r="O30" s="37"/>
      <c r="P30" s="37"/>
      <c r="Q30" s="38"/>
      <c r="R30" s="36"/>
      <c r="S30" s="37">
        <f>IF(Q31="","",Q31)</f>
        <v>4</v>
      </c>
      <c r="T30" s="37"/>
      <c r="U30" s="38">
        <f>IF(O31="","",O31)</f>
        <v>6</v>
      </c>
      <c r="V30" s="36"/>
      <c r="W30" s="37">
        <f>IF(Q32="","",Q32)</f>
      </c>
      <c r="X30" s="37"/>
      <c r="Y30" s="38">
        <f>IF(O32="","",O32)</f>
      </c>
      <c r="Z30" s="36"/>
      <c r="AA30" s="37">
        <f>IF(Q33="","",Q33)</f>
      </c>
      <c r="AB30" s="37"/>
      <c r="AC30" s="38">
        <f>IF(O33="","",O33)</f>
      </c>
      <c r="AD30" s="36"/>
      <c r="AE30" s="37">
        <f>IF(Q34="","",Q34)</f>
      </c>
      <c r="AF30" s="37"/>
      <c r="AG30" s="38">
        <f>IF(O34="","",O34)</f>
      </c>
      <c r="AH30" s="30">
        <f t="shared" si="20"/>
        <v>0</v>
      </c>
      <c r="AI30" s="30">
        <f t="shared" si="21"/>
        <v>2</v>
      </c>
      <c r="AJ30" s="30">
        <f t="shared" si="22"/>
        <v>0</v>
      </c>
      <c r="AK30" s="31">
        <f t="shared" si="23"/>
        <v>0</v>
      </c>
      <c r="AL30" s="32">
        <f t="shared" si="24"/>
        <v>0</v>
      </c>
      <c r="AM30" s="33">
        <f t="shared" si="25"/>
        <v>0</v>
      </c>
      <c r="AN30" s="34">
        <f t="shared" si="26"/>
        <v>0</v>
      </c>
      <c r="AO30" s="30">
        <f t="shared" si="27"/>
        <v>7</v>
      </c>
      <c r="AP30" s="30">
        <f t="shared" si="28"/>
        <v>13</v>
      </c>
      <c r="AQ30" s="25">
        <f t="shared" si="29"/>
        <v>-6</v>
      </c>
      <c r="AR30" s="1"/>
      <c r="AS30" s="1"/>
      <c r="AT30" s="42">
        <f>AY30+COUNTIF(AY$26:AY29,AY30)</f>
        <v>5</v>
      </c>
      <c r="AU30" s="44" t="str">
        <f>+A30</f>
        <v>柏南・新柏ツィンズ</v>
      </c>
      <c r="AV30" s="42">
        <f>+AN30</f>
        <v>0</v>
      </c>
      <c r="AW30" s="42">
        <f>+AH30</f>
        <v>0</v>
      </c>
      <c r="AX30" s="42">
        <f>+AH30+AI30+AJ30</f>
        <v>2</v>
      </c>
      <c r="AY30" s="42">
        <f>RANK(AV30,AV$27:AV$31)</f>
        <v>3</v>
      </c>
      <c r="AZ30" s="43">
        <f>VLOOKUP(ROW(AX4),$AT$27:$AZ$31,6,FALSE)</f>
        <v>3</v>
      </c>
      <c r="BA30" s="45" t="str">
        <f>VLOOKUP(ROW(AX4),$AT$27:$AY$31,2,FALSE)</f>
        <v>小金原ビクトリー</v>
      </c>
      <c r="BB30" s="45">
        <f>VLOOKUP(ROW(AX4),$AT$27:$AY$31,3,FALSE)</f>
        <v>0</v>
      </c>
      <c r="BC30" s="45">
        <f>VLOOKUP(ROW(AX4),$AT$27:$AY$31,4,FALSE)</f>
        <v>0</v>
      </c>
      <c r="BD30" s="45">
        <f>VLOOKUP(ROW(AX4),$AT$27:$AY$31,5,FALSE)</f>
        <v>1</v>
      </c>
      <c r="BE30" s="55"/>
      <c r="BG30" s="42">
        <f>BJ30+COUNTIF(BJ$26:BJ29,BJ30)</f>
        <v>3</v>
      </c>
      <c r="BH30" s="44" t="str">
        <f>+AU30</f>
        <v>柏南・新柏ツィンズ</v>
      </c>
      <c r="BI30" s="42">
        <f>COUNT(B30:Y30)/2</f>
        <v>2</v>
      </c>
      <c r="BJ30" s="42">
        <f>RANK(BI30,BI$27:BI$31)</f>
        <v>2</v>
      </c>
      <c r="BK30" s="43">
        <f>VLOOKUP(ROW(BK4),$BG$27:$BJ$31,4,FALSE)</f>
        <v>4</v>
      </c>
      <c r="BL30" s="45" t="str">
        <f>VLOOKUP(ROW(BL4),$BG$27:$BJ$31,2,FALSE)</f>
        <v>八柱サンジュニアーズ</v>
      </c>
    </row>
    <row r="31" spans="1:64" ht="19.5" customHeight="1">
      <c r="A31" s="129" t="s">
        <v>74</v>
      </c>
      <c r="B31" s="36"/>
      <c r="C31" s="37">
        <v>4</v>
      </c>
      <c r="D31" s="37"/>
      <c r="E31" s="38">
        <v>11</v>
      </c>
      <c r="F31" s="36"/>
      <c r="G31" s="37">
        <v>9</v>
      </c>
      <c r="H31" s="37"/>
      <c r="I31" s="38">
        <v>8</v>
      </c>
      <c r="J31" s="36"/>
      <c r="K31" s="37">
        <v>6</v>
      </c>
      <c r="L31" s="37"/>
      <c r="M31" s="38">
        <v>2</v>
      </c>
      <c r="N31" s="36"/>
      <c r="O31" s="37">
        <v>6</v>
      </c>
      <c r="P31" s="37"/>
      <c r="Q31" s="38">
        <v>4</v>
      </c>
      <c r="R31" s="36"/>
      <c r="S31" s="37"/>
      <c r="T31" s="37"/>
      <c r="U31" s="38"/>
      <c r="V31" s="36"/>
      <c r="W31" s="37">
        <f>IF(U32="","",U32)</f>
      </c>
      <c r="X31" s="37"/>
      <c r="Y31" s="38">
        <f>IF(S32="","",S32)</f>
      </c>
      <c r="Z31" s="36"/>
      <c r="AA31" s="37">
        <f>IF(U33="","",U33)</f>
      </c>
      <c r="AB31" s="37"/>
      <c r="AC31" s="38">
        <f>IF(S33="","",S33)</f>
      </c>
      <c r="AD31" s="36"/>
      <c r="AE31" s="37">
        <f>IF(U34="","",U34)</f>
      </c>
      <c r="AF31" s="37"/>
      <c r="AG31" s="38">
        <f>IF(S34="","",S34)</f>
      </c>
      <c r="AH31" s="30">
        <f t="shared" si="20"/>
        <v>3</v>
      </c>
      <c r="AI31" s="30">
        <f t="shared" si="21"/>
        <v>1</v>
      </c>
      <c r="AJ31" s="30">
        <f t="shared" si="22"/>
        <v>0</v>
      </c>
      <c r="AK31" s="31">
        <f t="shared" si="23"/>
        <v>6</v>
      </c>
      <c r="AL31" s="32">
        <f t="shared" si="24"/>
        <v>0</v>
      </c>
      <c r="AM31" s="33">
        <f t="shared" si="25"/>
        <v>0</v>
      </c>
      <c r="AN31" s="34">
        <f t="shared" si="26"/>
        <v>6</v>
      </c>
      <c r="AO31" s="30">
        <f t="shared" si="27"/>
        <v>25</v>
      </c>
      <c r="AP31" s="30">
        <f t="shared" si="28"/>
        <v>25</v>
      </c>
      <c r="AQ31" s="25">
        <f t="shared" si="29"/>
        <v>0</v>
      </c>
      <c r="AR31" s="1"/>
      <c r="AS31" s="1"/>
      <c r="AT31" s="42">
        <f>AY31+COUNTIF(AY$26:AY30,AY31)</f>
        <v>1</v>
      </c>
      <c r="AU31" s="44" t="str">
        <f>+A31</f>
        <v>吉川ドリームズ</v>
      </c>
      <c r="AV31" s="42">
        <f>+AN31</f>
        <v>6</v>
      </c>
      <c r="AW31" s="42">
        <f>+AH31</f>
        <v>3</v>
      </c>
      <c r="AX31" s="42">
        <f>+AH31+AI31+AJ31</f>
        <v>4</v>
      </c>
      <c r="AY31" s="42">
        <f>RANK(AV31,AV$27:AV$31)</f>
        <v>1</v>
      </c>
      <c r="AZ31" s="43">
        <f>VLOOKUP(ROW(AX5),$AT$27:$AZ$31,6,FALSE)</f>
        <v>3</v>
      </c>
      <c r="BA31" s="45" t="str">
        <f>VLOOKUP(ROW(AX5),$AT$27:$AY$31,2,FALSE)</f>
        <v>柏南・新柏ツィンズ</v>
      </c>
      <c r="BB31" s="45">
        <f>VLOOKUP(ROW(AX5),$AT$27:$AY$31,3,FALSE)</f>
        <v>0</v>
      </c>
      <c r="BC31" s="45">
        <f>VLOOKUP(ROW(AX5),$AT$27:$AY$31,4,FALSE)</f>
        <v>0</v>
      </c>
      <c r="BD31" s="45">
        <f>VLOOKUP(ROW(AX5),$AT$27:$AY$31,5,FALSE)</f>
        <v>2</v>
      </c>
      <c r="BE31" s="55"/>
      <c r="BG31" s="42">
        <f>BJ31+COUNTIF(BJ$26:BJ30,BJ31)</f>
        <v>1</v>
      </c>
      <c r="BH31" s="44" t="str">
        <f>+AU31</f>
        <v>吉川ドリームズ</v>
      </c>
      <c r="BI31" s="42">
        <f>COUNT(B31:Y31)/2</f>
        <v>4</v>
      </c>
      <c r="BJ31" s="42">
        <f>RANK(BI31,BI$27:BI$31)</f>
        <v>1</v>
      </c>
      <c r="BK31" s="43">
        <f>VLOOKUP(ROW(BK5),$BG$27:$BJ$31,4,FALSE)</f>
        <v>4</v>
      </c>
      <c r="BL31" s="45" t="str">
        <f>VLOOKUP(ROW(BL5),$BG$27:$BJ$31,2,FALSE)</f>
        <v>小金原ビクトリー</v>
      </c>
    </row>
    <row r="32" spans="1:64" ht="19.5" customHeight="1">
      <c r="A32" s="79"/>
      <c r="B32" s="36"/>
      <c r="C32" s="37"/>
      <c r="D32" s="37"/>
      <c r="E32" s="38"/>
      <c r="F32" s="36"/>
      <c r="G32" s="37"/>
      <c r="H32" s="37"/>
      <c r="I32" s="38"/>
      <c r="J32" s="36"/>
      <c r="K32" s="37"/>
      <c r="L32" s="37"/>
      <c r="M32" s="38"/>
      <c r="N32" s="36"/>
      <c r="O32" s="37"/>
      <c r="P32" s="37"/>
      <c r="Q32" s="38"/>
      <c r="R32" s="36"/>
      <c r="S32" s="37"/>
      <c r="T32" s="37"/>
      <c r="U32" s="38"/>
      <c r="V32" s="36"/>
      <c r="W32" s="37"/>
      <c r="X32" s="37"/>
      <c r="Y32" s="38"/>
      <c r="Z32" s="36"/>
      <c r="AA32" s="37">
        <f>IF(Y33="","",Y33)</f>
      </c>
      <c r="AB32" s="37"/>
      <c r="AC32" s="38">
        <f>IF(W33="","",W33)</f>
      </c>
      <c r="AD32" s="36"/>
      <c r="AE32" s="37">
        <f>IF(Y34="","",Y34)</f>
      </c>
      <c r="AF32" s="37"/>
      <c r="AG32" s="38">
        <f>IF(W34="","",W34)</f>
      </c>
      <c r="AH32" s="30">
        <f t="shared" si="20"/>
        <v>0</v>
      </c>
      <c r="AI32" s="30">
        <f t="shared" si="21"/>
        <v>0</v>
      </c>
      <c r="AJ32" s="30">
        <f t="shared" si="22"/>
        <v>0</v>
      </c>
      <c r="AK32" s="31">
        <f t="shared" si="23"/>
        <v>0</v>
      </c>
      <c r="AL32" s="32">
        <f t="shared" si="24"/>
        <v>0</v>
      </c>
      <c r="AM32" s="33">
        <f t="shared" si="25"/>
        <v>0</v>
      </c>
      <c r="AN32" s="34">
        <f t="shared" si="26"/>
        <v>0</v>
      </c>
      <c r="AO32" s="30">
        <f t="shared" si="27"/>
        <v>0</v>
      </c>
      <c r="AP32" s="30">
        <f t="shared" si="28"/>
        <v>0</v>
      </c>
      <c r="AQ32" s="30">
        <f t="shared" si="29"/>
        <v>0</v>
      </c>
      <c r="AR32" s="1"/>
      <c r="AS32" s="1"/>
      <c r="AT32" s="42"/>
      <c r="AU32" s="44"/>
      <c r="AV32" s="42"/>
      <c r="AW32" s="42"/>
      <c r="AX32" s="42"/>
      <c r="AY32" s="42"/>
      <c r="AZ32" s="43"/>
      <c r="BA32" s="45"/>
      <c r="BB32" s="45"/>
      <c r="BC32" s="45"/>
      <c r="BD32" s="45"/>
      <c r="BE32" s="55"/>
      <c r="BG32" s="42"/>
      <c r="BH32" s="44"/>
      <c r="BI32" s="42"/>
      <c r="BJ32" s="42"/>
      <c r="BK32" s="43"/>
      <c r="BL32" s="45"/>
    </row>
    <row r="33" spans="1:64" ht="19.5" customHeight="1">
      <c r="A33" s="79"/>
      <c r="B33" s="36"/>
      <c r="C33" s="37"/>
      <c r="D33" s="37"/>
      <c r="E33" s="38"/>
      <c r="F33" s="36"/>
      <c r="G33" s="37"/>
      <c r="H33" s="37"/>
      <c r="I33" s="38"/>
      <c r="J33" s="36"/>
      <c r="K33" s="37"/>
      <c r="L33" s="37"/>
      <c r="M33" s="38"/>
      <c r="N33" s="36"/>
      <c r="O33" s="37"/>
      <c r="P33" s="37"/>
      <c r="Q33" s="38"/>
      <c r="R33" s="36"/>
      <c r="S33" s="37"/>
      <c r="T33" s="37"/>
      <c r="U33" s="38"/>
      <c r="V33" s="36"/>
      <c r="W33" s="37"/>
      <c r="X33" s="37"/>
      <c r="Y33" s="38"/>
      <c r="Z33" s="36"/>
      <c r="AA33" s="37"/>
      <c r="AB33" s="37"/>
      <c r="AC33" s="38"/>
      <c r="AD33" s="36"/>
      <c r="AE33" s="37">
        <f>IF(AC34="","",AC34)</f>
      </c>
      <c r="AF33" s="37"/>
      <c r="AG33" s="38">
        <f>IF(AA34="","",AA34)</f>
      </c>
      <c r="AH33" s="30">
        <f>IF(C33&gt;E33,1,0)+IF(G33&gt;I33,1,0)+IF(K33&gt;M33,1,0)+IF(O33&gt;Q33,1,0)+IF(S33&gt;U33,1,0)+IF(W33&gt;Y33,1,0)+IF(AA33&gt;AC33,1,0)+IF(AE33&gt;AG33,1,0)</f>
        <v>0</v>
      </c>
      <c r="AI33" s="30">
        <f>IF(C33&lt;E33,1,0)+IF(G33&lt;I33,1,0)+IF(K33&lt;M33,1,0)+IF(O33&lt;Q33,1,0)+IF(S33&lt;U33,1,0)+IF(W33&lt;Y33,1,0)+IF(AA33&lt;AC33,1,0)+IF(AE33&lt;AG33,1,0)</f>
        <v>0</v>
      </c>
      <c r="AJ33" s="30">
        <f>IF(AND(ISNUMBER(C33),C33=E33),1,0)+IF(AND(ISNUMBER(G33),G33=I33),1,0)+IF(AND(ISNUMBER(K33),K33=M33),1,)+IF(AND(ISNUMBER(O33),O33=Q33),1,0)+IF(AND(ISNUMBER(S33),S33=U33),1,0)+IF(AND(ISNUMBER(W33),W33=Y33),1,0)+IF(AND(ISNUMBER(AA33),AA33=AC33),1,0)+IF(AND(ISNUMBER(AE33),AE33=AG33),1,0)</f>
        <v>0</v>
      </c>
      <c r="AK33" s="31">
        <f>AH33*2</f>
        <v>0</v>
      </c>
      <c r="AL33" s="32">
        <f>AI33*0</f>
        <v>0</v>
      </c>
      <c r="AM33" s="33">
        <f>AJ33*1</f>
        <v>0</v>
      </c>
      <c r="AN33" s="34">
        <f>AK33+AL33+AM33</f>
        <v>0</v>
      </c>
      <c r="AO33" s="30">
        <f>IF(ISNUMBER(G33),G33,0)+IF(ISNUMBER(K33),K33,0)+IF(ISNUMBER(O33),O33,0)+IF(ISNUMBER(AA33),AA33,0)+IF(ISNUMBER(AE33),AE33,0)+IF(ISNUMBER(S33),S33,0)+IF(ISNUMBER(W33),W33,0)+IF(ISNUMBER(C33),C33,0)</f>
        <v>0</v>
      </c>
      <c r="AP33" s="30">
        <f>IF(ISNUMBER(I33),I33,0)+IF(ISNUMBER(M33),M33,0)+IF(ISNUMBER(Q33),Q33,0)+IF(ISNUMBER(AC33),AC33,0)+IF(ISNUMBER(AG33),AG33,0)+IF(ISNUMBER(U33),U33,0)+IF(ISNUMBER(Y33),Y33,0)+IF(ISNUMBER(E33),E33,0)</f>
        <v>0</v>
      </c>
      <c r="AQ33" s="30">
        <f>AO33-AP33</f>
        <v>0</v>
      </c>
      <c r="AR33" s="1"/>
      <c r="AS33" s="1"/>
      <c r="AT33" s="42"/>
      <c r="AU33" s="44"/>
      <c r="AV33" s="42"/>
      <c r="AW33" s="42"/>
      <c r="AX33" s="42"/>
      <c r="AY33" s="42"/>
      <c r="AZ33" s="43"/>
      <c r="BA33" s="45"/>
      <c r="BB33" s="45"/>
      <c r="BC33" s="45"/>
      <c r="BD33" s="45"/>
      <c r="BE33" s="55"/>
      <c r="BG33" s="42"/>
      <c r="BH33" s="44"/>
      <c r="BI33" s="42"/>
      <c r="BJ33" s="42"/>
      <c r="BK33" s="43"/>
      <c r="BL33" s="45"/>
    </row>
    <row r="34" spans="1:64" ht="19.5" customHeight="1">
      <c r="A34" s="79"/>
      <c r="B34" s="36"/>
      <c r="C34" s="37"/>
      <c r="D34" s="37"/>
      <c r="E34" s="38"/>
      <c r="F34" s="36"/>
      <c r="G34" s="37"/>
      <c r="H34" s="37"/>
      <c r="I34" s="38"/>
      <c r="J34" s="36"/>
      <c r="K34" s="37"/>
      <c r="L34" s="37"/>
      <c r="M34" s="38"/>
      <c r="N34" s="36"/>
      <c r="O34" s="37"/>
      <c r="P34" s="37"/>
      <c r="Q34" s="38"/>
      <c r="R34" s="36"/>
      <c r="S34" s="37"/>
      <c r="T34" s="37"/>
      <c r="U34" s="38"/>
      <c r="V34" s="36"/>
      <c r="W34" s="37"/>
      <c r="X34" s="37"/>
      <c r="Y34" s="38"/>
      <c r="Z34" s="36"/>
      <c r="AA34" s="37"/>
      <c r="AB34" s="37"/>
      <c r="AC34" s="38"/>
      <c r="AD34" s="36"/>
      <c r="AE34" s="37"/>
      <c r="AF34" s="37"/>
      <c r="AG34" s="38"/>
      <c r="AH34" s="30"/>
      <c r="AI34" s="30"/>
      <c r="AJ34" s="30"/>
      <c r="AK34" s="31"/>
      <c r="AL34" s="32"/>
      <c r="AM34" s="33"/>
      <c r="AN34" s="34"/>
      <c r="AO34" s="30"/>
      <c r="AP34" s="30"/>
      <c r="AQ34" s="30"/>
      <c r="AR34" s="1"/>
      <c r="AS34" s="1"/>
      <c r="AT34" s="42"/>
      <c r="AU34" s="44"/>
      <c r="AV34" s="42"/>
      <c r="AW34" s="42"/>
      <c r="AX34" s="42"/>
      <c r="AY34" s="42"/>
      <c r="AZ34" s="43"/>
      <c r="BA34" s="45"/>
      <c r="BB34" s="45"/>
      <c r="BC34" s="45"/>
      <c r="BD34" s="45"/>
      <c r="BE34" s="55"/>
      <c r="BG34" s="42"/>
      <c r="BH34" s="44"/>
      <c r="BI34" s="42"/>
      <c r="BJ34" s="42"/>
      <c r="BK34" s="43"/>
      <c r="BL34" s="45"/>
    </row>
    <row r="35" spans="1:62" ht="19.5" customHeight="1">
      <c r="A35" s="7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1"/>
      <c r="AI35" s="6">
        <f>SUM(AH27:AH34)</f>
        <v>5</v>
      </c>
      <c r="AJ35" s="6">
        <f>SUM(AI27:AI34)</f>
        <v>5</v>
      </c>
      <c r="AK35" s="6">
        <f>SUM(AJ27:AJ34)</f>
        <v>0</v>
      </c>
      <c r="AL35" s="6"/>
      <c r="AM35" s="6"/>
      <c r="AN35" s="1"/>
      <c r="AO35" s="6">
        <f>SUM(AO27:AO34)</f>
        <v>60</v>
      </c>
      <c r="AP35" s="6">
        <f>SUM(AP27:AP34)</f>
        <v>60</v>
      </c>
      <c r="AQ35" s="6">
        <f>SUM(AQ27:AQ34)</f>
        <v>0</v>
      </c>
      <c r="BI35" s="53">
        <f>SUM(BI27:BI34)/2</f>
        <v>5</v>
      </c>
      <c r="BJ35" s="3">
        <f>5*4/2</f>
        <v>10</v>
      </c>
    </row>
    <row r="36" spans="1:47" ht="19.5" customHeight="1">
      <c r="A36" s="4" t="s">
        <v>27</v>
      </c>
      <c r="B36" s="73" t="s">
        <v>53</v>
      </c>
      <c r="C36" s="51"/>
      <c r="D36" s="51"/>
      <c r="E36" s="51"/>
      <c r="F36" s="51"/>
      <c r="G36" s="171" t="str">
        <f>"１日"&amp;ROUND((BJ46-BI46)/'戦績'!N42,1)&amp;"試合"</f>
        <v>１日0試合</v>
      </c>
      <c r="H36" s="171"/>
      <c r="I36" s="171"/>
      <c r="J36" s="171"/>
      <c r="K36" s="163" t="s">
        <v>23</v>
      </c>
      <c r="L36" s="163"/>
      <c r="M36" s="163"/>
      <c r="N36" s="163"/>
      <c r="O36" s="165" t="str">
        <f>IF(C61&gt;C60,+BA38,"")</f>
        <v>大橋みどりファイターズ</v>
      </c>
      <c r="P36" s="165"/>
      <c r="Q36" s="165"/>
      <c r="R36" s="165"/>
      <c r="S36" s="165"/>
      <c r="T36" s="52"/>
      <c r="U36" s="163" t="s">
        <v>24</v>
      </c>
      <c r="V36" s="163"/>
      <c r="W36" s="163"/>
      <c r="X36" s="163"/>
      <c r="Y36" s="165" t="str">
        <f>IF(C61&gt;C60,+BA39,"")</f>
        <v>トライスター</v>
      </c>
      <c r="Z36" s="165"/>
      <c r="AA36" s="165"/>
      <c r="AB36" s="165"/>
      <c r="AC36" s="165"/>
      <c r="AD36" s="165"/>
      <c r="AE36" s="1"/>
      <c r="AF36" s="54" t="s">
        <v>26</v>
      </c>
      <c r="AG36" s="1"/>
      <c r="AH36" s="1"/>
      <c r="AI36" s="1"/>
      <c r="AJ36" s="169">
        <f>+BI46/(MAX(AT38:AT45)*(MAX(AT38:AT45)-1)/2)</f>
        <v>0.9</v>
      </c>
      <c r="AK36" s="169"/>
      <c r="AL36" s="60">
        <f>IF(AI35=AJ35,"","計算間違い")</f>
      </c>
      <c r="AM36" s="1"/>
      <c r="AN36" s="1"/>
      <c r="AO36" s="1"/>
      <c r="AP36" s="60">
        <f>IF(AK35/2=TRUNC(AK35/2,0),"","計算間違い")</f>
      </c>
      <c r="AQ36" s="1"/>
      <c r="AR36" s="1"/>
      <c r="AS36" s="1"/>
      <c r="AT36" s="1"/>
      <c r="AU36" s="1"/>
    </row>
    <row r="37" spans="1:61" ht="19.5" customHeight="1">
      <c r="A37" s="5"/>
      <c r="B37" s="164" t="str">
        <f>+A38</f>
        <v>大橋みどりファイターズ</v>
      </c>
      <c r="C37" s="164"/>
      <c r="D37" s="164"/>
      <c r="E37" s="164"/>
      <c r="F37" s="164" t="str">
        <f>+A39</f>
        <v>松戸KSカージナルス
</v>
      </c>
      <c r="G37" s="164"/>
      <c r="H37" s="164"/>
      <c r="I37" s="164"/>
      <c r="J37" s="164" t="str">
        <f>+A40</f>
        <v>トライスター</v>
      </c>
      <c r="K37" s="164"/>
      <c r="L37" s="164"/>
      <c r="M37" s="164"/>
      <c r="N37" s="164" t="str">
        <f>+A41</f>
        <v>光ヶ丘シャークス</v>
      </c>
      <c r="O37" s="164"/>
      <c r="P37" s="164"/>
      <c r="Q37" s="164"/>
      <c r="R37" s="164" t="str">
        <f>+A42</f>
        <v>リトルキング</v>
      </c>
      <c r="S37" s="164"/>
      <c r="T37" s="164"/>
      <c r="U37" s="164"/>
      <c r="V37" s="164"/>
      <c r="W37" s="164"/>
      <c r="X37" s="164"/>
      <c r="Y37" s="164"/>
      <c r="Z37" s="164"/>
      <c r="AA37" s="164"/>
      <c r="AB37" s="164"/>
      <c r="AC37" s="164"/>
      <c r="AD37" s="164"/>
      <c r="AE37" s="164"/>
      <c r="AF37" s="164"/>
      <c r="AG37" s="164"/>
      <c r="AH37" s="25" t="s">
        <v>4</v>
      </c>
      <c r="AI37" s="25" t="s">
        <v>5</v>
      </c>
      <c r="AJ37" s="25" t="s">
        <v>6</v>
      </c>
      <c r="AK37" s="26" t="s">
        <v>11</v>
      </c>
      <c r="AL37" s="27" t="s">
        <v>12</v>
      </c>
      <c r="AM37" s="28" t="s">
        <v>13</v>
      </c>
      <c r="AN37" s="29" t="s">
        <v>7</v>
      </c>
      <c r="AO37" s="25" t="s">
        <v>8</v>
      </c>
      <c r="AP37" s="25" t="s">
        <v>9</v>
      </c>
      <c r="AQ37" s="25" t="s">
        <v>10</v>
      </c>
      <c r="AR37" s="1"/>
      <c r="AS37" s="1"/>
      <c r="AU37" s="3" t="s">
        <v>17</v>
      </c>
      <c r="AV37" s="3" t="s">
        <v>18</v>
      </c>
      <c r="BH37" s="3" t="s">
        <v>17</v>
      </c>
      <c r="BI37" s="3" t="s">
        <v>19</v>
      </c>
    </row>
    <row r="38" spans="1:64" ht="19.5" customHeight="1">
      <c r="A38" s="79" t="s">
        <v>80</v>
      </c>
      <c r="B38" s="36"/>
      <c r="C38" s="37"/>
      <c r="D38" s="37"/>
      <c r="E38" s="38"/>
      <c r="F38" s="36"/>
      <c r="G38" s="37">
        <f>IF(E39="","",E39)</f>
        <v>12</v>
      </c>
      <c r="H38" s="37"/>
      <c r="I38" s="38">
        <f>IF(C39="","",C39)</f>
        <v>4</v>
      </c>
      <c r="J38" s="36"/>
      <c r="K38" s="37">
        <f>IF(E40="","",E40)</f>
        <v>15</v>
      </c>
      <c r="L38" s="37"/>
      <c r="M38" s="38">
        <f>IF(C40="","",C40)</f>
        <v>2</v>
      </c>
      <c r="N38" s="36"/>
      <c r="O38" s="37">
        <f>IF(E41="","",E41)</f>
        <v>2</v>
      </c>
      <c r="P38" s="37"/>
      <c r="Q38" s="38">
        <f>IF(C41="","",C41)</f>
        <v>1</v>
      </c>
      <c r="R38" s="36"/>
      <c r="S38" s="37">
        <f>IF(E42="","",E42)</f>
        <v>20</v>
      </c>
      <c r="T38" s="37"/>
      <c r="U38" s="38">
        <f>IF(C42="","",C42)</f>
        <v>1</v>
      </c>
      <c r="V38" s="36"/>
      <c r="W38" s="37">
        <f>IF(E43="","",E43)</f>
      </c>
      <c r="X38" s="37"/>
      <c r="Y38" s="38">
        <f>IF(C43="","",C43)</f>
      </c>
      <c r="Z38" s="36"/>
      <c r="AA38" s="37">
        <f>IF(E44="","",E44)</f>
      </c>
      <c r="AB38" s="37"/>
      <c r="AC38" s="38">
        <f>IF(C44="","",C44)</f>
      </c>
      <c r="AD38" s="36"/>
      <c r="AE38" s="37"/>
      <c r="AF38" s="37"/>
      <c r="AG38" s="38"/>
      <c r="AH38" s="30">
        <f aca="true" t="shared" si="30" ref="AH38:AH43">IF(C38&gt;E38,1,0)+IF(G38&gt;I38,1,0)+IF(K38&gt;M38,1,0)+IF(O38&gt;Q38,1,0)+IF(S38&gt;U38,1,0)+IF(W38&gt;Y38,1,0)+IF(AA38&gt;AC38,1,0)+IF(AE38&gt;AG38,1,0)</f>
        <v>4</v>
      </c>
      <c r="AI38" s="30">
        <f aca="true" t="shared" si="31" ref="AI38:AI43">IF(C38&lt;E38,1,0)+IF(G38&lt;I38,1,0)+IF(K38&lt;M38,1,0)+IF(O38&lt;Q38,1,0)+IF(S38&lt;U38,1,0)+IF(W38&lt;Y38,1,0)+IF(AA38&lt;AC38,1,0)+IF(AE38&lt;AG38,1,0)</f>
        <v>0</v>
      </c>
      <c r="AJ38" s="30">
        <f aca="true" t="shared" si="32" ref="AJ38:AJ43">IF(AND(ISNUMBER(C38),C38=E38),1,0)+IF(AND(ISNUMBER(G38),G38=I38),1,0)+IF(AND(ISNUMBER(K38),K38=M38),1,)+IF(AND(ISNUMBER(O38),O38=Q38),1,0)+IF(AND(ISNUMBER(S38),S38=U38),1,0)+IF(AND(ISNUMBER(W38),W38=Y38),1,0)+IF(AND(ISNUMBER(AA38),AA38=AC38),1,0)+IF(AND(ISNUMBER(AE38),AE38=AG38),1,0)</f>
        <v>0</v>
      </c>
      <c r="AK38" s="31">
        <f aca="true" t="shared" si="33" ref="AK38:AK43">AH38*2</f>
        <v>8</v>
      </c>
      <c r="AL38" s="32">
        <f aca="true" t="shared" si="34" ref="AL38:AL43">AI38*0</f>
        <v>0</v>
      </c>
      <c r="AM38" s="33">
        <f aca="true" t="shared" si="35" ref="AM38:AM43">AJ38*1</f>
        <v>0</v>
      </c>
      <c r="AN38" s="34">
        <f aca="true" t="shared" si="36" ref="AN38:AN43">AK38+AL38+AM38</f>
        <v>8</v>
      </c>
      <c r="AO38" s="30">
        <f aca="true" t="shared" si="37" ref="AO38:AO43">IF(ISNUMBER(G38),G38,0)+IF(ISNUMBER(K38),K38,0)+IF(ISNUMBER(O38),O38,0)+IF(ISNUMBER(AA38),AA38,0)+IF(ISNUMBER(AE38),AE38,0)+IF(ISNUMBER(S38),S38,0)+IF(ISNUMBER(W38),W38,0)+IF(ISNUMBER(C38),C38,0)</f>
        <v>49</v>
      </c>
      <c r="AP38" s="30">
        <f aca="true" t="shared" si="38" ref="AP38:AP43">IF(ISNUMBER(I38),I38,0)+IF(ISNUMBER(M38),M38,0)+IF(ISNUMBER(Q38),Q38,0)+IF(ISNUMBER(AC38),AC38,0)+IF(ISNUMBER(AG38),AG38,0)+IF(ISNUMBER(U38),U38,0)+IF(ISNUMBER(Y38),Y38,0)+IF(ISNUMBER(E38),E38,0)</f>
        <v>8</v>
      </c>
      <c r="AQ38" s="30">
        <f aca="true" t="shared" si="39" ref="AQ38:AQ43">AO38-AP38</f>
        <v>41</v>
      </c>
      <c r="AR38" s="1"/>
      <c r="AS38" s="1"/>
      <c r="AT38" s="42">
        <f>AY38+COUNTIF(AY$37:AY37,AY38)</f>
        <v>1</v>
      </c>
      <c r="AU38" s="44" t="str">
        <f>+A38</f>
        <v>大橋みどりファイターズ</v>
      </c>
      <c r="AV38" s="42">
        <f>+AN38</f>
        <v>8</v>
      </c>
      <c r="AW38" s="42">
        <f>+AH38</f>
        <v>4</v>
      </c>
      <c r="AX38" s="42">
        <f>+AH38+AI38+AJ38</f>
        <v>4</v>
      </c>
      <c r="AY38" s="42">
        <f>RANK(AV38,AV$38:AV$42)</f>
        <v>1</v>
      </c>
      <c r="AZ38" s="43">
        <f>VLOOKUP(ROW(AX1),$AT$38:$AY$42,6,FALSE)</f>
        <v>1</v>
      </c>
      <c r="BA38" s="45" t="str">
        <f>VLOOKUP(ROW(AX1),$AT$38:$AY$42,2,FALSE)</f>
        <v>大橋みどりファイターズ</v>
      </c>
      <c r="BB38" s="45">
        <f>VLOOKUP(ROW(AX1),$AT$38:$AY$42,3,FALSE)</f>
        <v>8</v>
      </c>
      <c r="BC38" s="45">
        <f>VLOOKUP(ROW(AX1),$AT$38:$AY$42,4,FALSE)</f>
        <v>4</v>
      </c>
      <c r="BD38" s="45">
        <f>VLOOKUP(ROW(AX1),$AT$38:$AY$42,5,FALSE)</f>
        <v>4</v>
      </c>
      <c r="BE38" s="55"/>
      <c r="BG38" s="42">
        <f>BJ38+COUNTIF(BJ$37:BJ37,BJ38)</f>
        <v>1</v>
      </c>
      <c r="BH38" s="44" t="str">
        <f>+AU38</f>
        <v>大橋みどりファイターズ</v>
      </c>
      <c r="BI38" s="42">
        <f>COUNT(B38:Y38)/2</f>
        <v>4</v>
      </c>
      <c r="BJ38" s="42">
        <f>RANK(BI38,BI$38:BI$42)</f>
        <v>1</v>
      </c>
      <c r="BK38" s="43">
        <f>VLOOKUP(ROW(BK1),$BG$38:$BJ$42,4,FALSE)</f>
        <v>1</v>
      </c>
      <c r="BL38" s="45" t="str">
        <f>VLOOKUP(ROW(BL1),$BG$38:$BJ$42,2,FALSE)</f>
        <v>大橋みどりファイターズ</v>
      </c>
    </row>
    <row r="39" spans="1:64" ht="19.5" customHeight="1">
      <c r="A39" s="79" t="s">
        <v>83</v>
      </c>
      <c r="B39" s="36"/>
      <c r="C39" s="37">
        <v>4</v>
      </c>
      <c r="D39" s="37"/>
      <c r="E39" s="38">
        <v>12</v>
      </c>
      <c r="F39" s="36"/>
      <c r="G39" s="37"/>
      <c r="H39" s="37"/>
      <c r="I39" s="38"/>
      <c r="J39" s="36"/>
      <c r="K39" s="37">
        <f>IF(I40="","",I40)</f>
        <v>10</v>
      </c>
      <c r="L39" s="37"/>
      <c r="M39" s="38">
        <f>IF(G40="","",G40)</f>
        <v>11</v>
      </c>
      <c r="N39" s="36"/>
      <c r="O39" s="37">
        <f>IF(I41="","",I41)</f>
      </c>
      <c r="P39" s="37"/>
      <c r="Q39" s="38">
        <f>IF(G41="","",G41)</f>
      </c>
      <c r="R39" s="36"/>
      <c r="S39" s="37">
        <f>IF(I42="","",I42)</f>
        <v>1</v>
      </c>
      <c r="T39" s="37"/>
      <c r="U39" s="38">
        <f>IF(G42="","",G42)</f>
        <v>15</v>
      </c>
      <c r="V39" s="36"/>
      <c r="W39" s="37">
        <f>IF(I43="","",I43)</f>
      </c>
      <c r="X39" s="37"/>
      <c r="Y39" s="38">
        <f>IF(G43="","",G43)</f>
      </c>
      <c r="Z39" s="36"/>
      <c r="AA39" s="37">
        <f>IF(I44="","",I44)</f>
      </c>
      <c r="AB39" s="37"/>
      <c r="AC39" s="38">
        <f>IF(G44="","",G44)</f>
      </c>
      <c r="AD39" s="36"/>
      <c r="AE39" s="37"/>
      <c r="AF39" s="37"/>
      <c r="AG39" s="38"/>
      <c r="AH39" s="30">
        <f t="shared" si="30"/>
        <v>0</v>
      </c>
      <c r="AI39" s="30">
        <f t="shared" si="31"/>
        <v>3</v>
      </c>
      <c r="AJ39" s="30">
        <f t="shared" si="32"/>
        <v>0</v>
      </c>
      <c r="AK39" s="31">
        <f t="shared" si="33"/>
        <v>0</v>
      </c>
      <c r="AL39" s="32">
        <f t="shared" si="34"/>
        <v>0</v>
      </c>
      <c r="AM39" s="33">
        <f t="shared" si="35"/>
        <v>0</v>
      </c>
      <c r="AN39" s="34">
        <f t="shared" si="36"/>
        <v>0</v>
      </c>
      <c r="AO39" s="30">
        <f t="shared" si="37"/>
        <v>15</v>
      </c>
      <c r="AP39" s="30">
        <f t="shared" si="38"/>
        <v>38</v>
      </c>
      <c r="AQ39" s="25">
        <f t="shared" si="39"/>
        <v>-23</v>
      </c>
      <c r="AR39" s="1"/>
      <c r="AS39" s="1"/>
      <c r="AT39" s="42">
        <f>AY39+COUNTIF(AY$37:AY38,AY39)</f>
        <v>4</v>
      </c>
      <c r="AU39" s="44" t="str">
        <f>+A39</f>
        <v>松戸KSカージナルス
</v>
      </c>
      <c r="AV39" s="42">
        <f>+AN39</f>
        <v>0</v>
      </c>
      <c r="AW39" s="42">
        <f>+AH39</f>
        <v>0</v>
      </c>
      <c r="AX39" s="42">
        <f>+AH39+AI39+AJ39</f>
        <v>3</v>
      </c>
      <c r="AY39" s="42">
        <f>RANK(AV39,AV$38:AV$42)</f>
        <v>4</v>
      </c>
      <c r="AZ39" s="43">
        <f>VLOOKUP(ROW(AX2),$AT$38:$AY$42,6,FALSE)</f>
        <v>2</v>
      </c>
      <c r="BA39" s="45" t="str">
        <f>VLOOKUP(ROW(AX2),$AT$38:$AY$42,2,FALSE)</f>
        <v>トライスター</v>
      </c>
      <c r="BB39" s="45">
        <f>VLOOKUP(ROW(AX2),$AT$38:$AY$42,3,FALSE)</f>
        <v>4</v>
      </c>
      <c r="BC39" s="45">
        <f>VLOOKUP(ROW(AX2),$AT$38:$AY$42,4,FALSE)</f>
        <v>2</v>
      </c>
      <c r="BD39" s="45">
        <f>VLOOKUP(ROW(AX2),$AT$38:$AY$42,5,FALSE)</f>
        <v>4</v>
      </c>
      <c r="BE39" s="55"/>
      <c r="BG39" s="42">
        <f>BJ39+COUNTIF(BJ$37:BJ38,BJ39)</f>
        <v>4</v>
      </c>
      <c r="BH39" s="44" t="str">
        <f>+AU39</f>
        <v>松戸KSカージナルス
</v>
      </c>
      <c r="BI39" s="42">
        <f>COUNT(B39:Y39)/2</f>
        <v>3</v>
      </c>
      <c r="BJ39" s="42">
        <f>RANK(BI39,BI$38:BI$42)</f>
        <v>4</v>
      </c>
      <c r="BK39" s="43">
        <f>VLOOKUP(ROW(BK2),$BG$38:$BJ$42,4,FALSE)</f>
        <v>1</v>
      </c>
      <c r="BL39" s="45" t="str">
        <f>VLOOKUP(ROW(BL2),$BG$38:$BJ$42,2,FALSE)</f>
        <v>トライスター</v>
      </c>
    </row>
    <row r="40" spans="1:64" ht="19.5" customHeight="1">
      <c r="A40" s="79" t="s">
        <v>72</v>
      </c>
      <c r="B40" s="36"/>
      <c r="C40" s="37">
        <v>2</v>
      </c>
      <c r="D40" s="37"/>
      <c r="E40" s="38">
        <v>15</v>
      </c>
      <c r="F40" s="36"/>
      <c r="G40" s="37">
        <v>11</v>
      </c>
      <c r="H40" s="37"/>
      <c r="I40" s="38">
        <v>10</v>
      </c>
      <c r="J40" s="36"/>
      <c r="K40" s="37"/>
      <c r="L40" s="37"/>
      <c r="M40" s="38"/>
      <c r="N40" s="36"/>
      <c r="O40" s="37">
        <f>IF(M41="","",M41)</f>
        <v>4</v>
      </c>
      <c r="P40" s="37"/>
      <c r="Q40" s="38">
        <f>IF(K41="","",K41)</f>
        <v>6</v>
      </c>
      <c r="R40" s="36"/>
      <c r="S40" s="37">
        <f>IF(M42="","",M42)</f>
        <v>8</v>
      </c>
      <c r="T40" s="37"/>
      <c r="U40" s="38">
        <f>IF(K42="","",K42)</f>
        <v>6</v>
      </c>
      <c r="V40" s="36"/>
      <c r="W40" s="37">
        <f>IF(M43="","",M43)</f>
      </c>
      <c r="X40" s="37"/>
      <c r="Y40" s="38">
        <f>IF(K43="","",K43)</f>
      </c>
      <c r="Z40" s="36"/>
      <c r="AA40" s="37">
        <f>IF(M44="","",M44)</f>
      </c>
      <c r="AB40" s="37"/>
      <c r="AC40" s="38">
        <f>IF(K44="","",K44)</f>
      </c>
      <c r="AD40" s="36"/>
      <c r="AE40" s="37"/>
      <c r="AF40" s="37"/>
      <c r="AG40" s="38"/>
      <c r="AH40" s="30">
        <f t="shared" si="30"/>
        <v>2</v>
      </c>
      <c r="AI40" s="30">
        <f t="shared" si="31"/>
        <v>2</v>
      </c>
      <c r="AJ40" s="30">
        <f t="shared" si="32"/>
        <v>0</v>
      </c>
      <c r="AK40" s="31">
        <f t="shared" si="33"/>
        <v>4</v>
      </c>
      <c r="AL40" s="32">
        <f t="shared" si="34"/>
        <v>0</v>
      </c>
      <c r="AM40" s="33">
        <f t="shared" si="35"/>
        <v>0</v>
      </c>
      <c r="AN40" s="34">
        <f t="shared" si="36"/>
        <v>4</v>
      </c>
      <c r="AO40" s="30">
        <f t="shared" si="37"/>
        <v>25</v>
      </c>
      <c r="AP40" s="30">
        <f t="shared" si="38"/>
        <v>37</v>
      </c>
      <c r="AQ40" s="35">
        <f t="shared" si="39"/>
        <v>-12</v>
      </c>
      <c r="AR40" s="1"/>
      <c r="AS40" s="1"/>
      <c r="AT40" s="42">
        <f>AY40+COUNTIF(AY$37:AY39,AY40)</f>
        <v>2</v>
      </c>
      <c r="AU40" s="44" t="str">
        <f>+A40</f>
        <v>トライスター</v>
      </c>
      <c r="AV40" s="42">
        <f>+AN40</f>
        <v>4</v>
      </c>
      <c r="AW40" s="42">
        <f>+AH40</f>
        <v>2</v>
      </c>
      <c r="AX40" s="42">
        <f>+AH40+AI40+AJ40</f>
        <v>4</v>
      </c>
      <c r="AY40" s="42">
        <f>RANK(AV40,AV$38:AV$42)</f>
        <v>2</v>
      </c>
      <c r="AZ40" s="43">
        <f>VLOOKUP(ROW(AX3),$AT$38:$AY$42,6,FALSE)</f>
        <v>2</v>
      </c>
      <c r="BA40" s="45" t="str">
        <f>VLOOKUP(ROW(AX3),$AT$38:$AY$42,2,FALSE)</f>
        <v>光ヶ丘シャークス</v>
      </c>
      <c r="BB40" s="45">
        <f>VLOOKUP(ROW(AX3),$AT$38:$AY$42,3,FALSE)</f>
        <v>4</v>
      </c>
      <c r="BC40" s="45">
        <f>VLOOKUP(ROW(AX3),$AT$38:$AY$42,4,FALSE)</f>
        <v>2</v>
      </c>
      <c r="BD40" s="45">
        <f>VLOOKUP(ROW(AX3),$AT$38:$AY$42,5,FALSE)</f>
        <v>3</v>
      </c>
      <c r="BE40" s="55"/>
      <c r="BG40" s="42">
        <f>BJ40+COUNTIF(BJ$37:BJ39,BJ40)</f>
        <v>2</v>
      </c>
      <c r="BH40" s="44" t="str">
        <f>+AU40</f>
        <v>トライスター</v>
      </c>
      <c r="BI40" s="42">
        <f>COUNT(B40:Y40)/2</f>
        <v>4</v>
      </c>
      <c r="BJ40" s="42">
        <f>RANK(BI40,BI$38:BI$42)</f>
        <v>1</v>
      </c>
      <c r="BK40" s="43">
        <f>VLOOKUP(ROW(BK3),$BG$38:$BJ$42,4,FALSE)</f>
        <v>1</v>
      </c>
      <c r="BL40" s="45" t="str">
        <f>VLOOKUP(ROW(BL3),$BG$38:$BJ$42,2,FALSE)</f>
        <v>リトルキング</v>
      </c>
    </row>
    <row r="41" spans="1:64" ht="19.5" customHeight="1">
      <c r="A41" s="79" t="s">
        <v>85</v>
      </c>
      <c r="B41" s="36"/>
      <c r="C41" s="37">
        <v>1</v>
      </c>
      <c r="D41" s="37"/>
      <c r="E41" s="38">
        <v>2</v>
      </c>
      <c r="F41" s="36"/>
      <c r="G41" s="37"/>
      <c r="H41" s="37"/>
      <c r="I41" s="38"/>
      <c r="J41" s="36"/>
      <c r="K41" s="37">
        <v>6</v>
      </c>
      <c r="L41" s="37"/>
      <c r="M41" s="38">
        <v>4</v>
      </c>
      <c r="N41" s="36"/>
      <c r="O41" s="37"/>
      <c r="P41" s="37"/>
      <c r="Q41" s="38"/>
      <c r="R41" s="36"/>
      <c r="S41" s="37">
        <f>IF(Q42="","",Q42)</f>
        <v>15</v>
      </c>
      <c r="T41" s="37"/>
      <c r="U41" s="38">
        <f>IF(O42="","",O42)</f>
        <v>5</v>
      </c>
      <c r="V41" s="36"/>
      <c r="W41" s="37">
        <f>IF(Q43="","",Q43)</f>
      </c>
      <c r="X41" s="37"/>
      <c r="Y41" s="38">
        <f>IF(O43="","",O43)</f>
      </c>
      <c r="Z41" s="36"/>
      <c r="AA41" s="37">
        <f>IF(Q44="","",Q44)</f>
      </c>
      <c r="AB41" s="37"/>
      <c r="AC41" s="38">
        <f>IF(O44="","",O44)</f>
      </c>
      <c r="AD41" s="36"/>
      <c r="AE41" s="37"/>
      <c r="AF41" s="37"/>
      <c r="AG41" s="38"/>
      <c r="AH41" s="30">
        <f t="shared" si="30"/>
        <v>2</v>
      </c>
      <c r="AI41" s="30">
        <f t="shared" si="31"/>
        <v>1</v>
      </c>
      <c r="AJ41" s="30">
        <f t="shared" si="32"/>
        <v>0</v>
      </c>
      <c r="AK41" s="31">
        <f t="shared" si="33"/>
        <v>4</v>
      </c>
      <c r="AL41" s="32">
        <f t="shared" si="34"/>
        <v>0</v>
      </c>
      <c r="AM41" s="33">
        <f t="shared" si="35"/>
        <v>0</v>
      </c>
      <c r="AN41" s="34">
        <f t="shared" si="36"/>
        <v>4</v>
      </c>
      <c r="AO41" s="30">
        <f t="shared" si="37"/>
        <v>22</v>
      </c>
      <c r="AP41" s="30">
        <f t="shared" si="38"/>
        <v>11</v>
      </c>
      <c r="AQ41" s="25">
        <f t="shared" si="39"/>
        <v>11</v>
      </c>
      <c r="AR41" s="1"/>
      <c r="AS41" s="1"/>
      <c r="AT41" s="42">
        <f>AY41+COUNTIF(AY$37:AY40,AY41)</f>
        <v>3</v>
      </c>
      <c r="AU41" s="44" t="str">
        <f>+A41</f>
        <v>光ヶ丘シャークス</v>
      </c>
      <c r="AV41" s="42">
        <f>+AN41</f>
        <v>4</v>
      </c>
      <c r="AW41" s="42">
        <f>+AH41</f>
        <v>2</v>
      </c>
      <c r="AX41" s="42">
        <f>+AH41+AI41+AJ41</f>
        <v>3</v>
      </c>
      <c r="AY41" s="42">
        <f>RANK(AV41,AV$38:AV$42)</f>
        <v>2</v>
      </c>
      <c r="AZ41" s="43">
        <f>VLOOKUP(ROW(AX4),$AT$38:$AY$42,6,FALSE)</f>
        <v>4</v>
      </c>
      <c r="BA41" s="45" t="str">
        <f>VLOOKUP(ROW(AX4),$AT$38:$AY$42,2,FALSE)</f>
        <v>松戸KSカージナルス
</v>
      </c>
      <c r="BB41" s="45">
        <f>VLOOKUP(ROW(AX4),$AT$38:$AY$42,3,FALSE)</f>
        <v>0</v>
      </c>
      <c r="BC41" s="45">
        <f>VLOOKUP(ROW(AX4),$AT$38:$AY$42,4,FALSE)</f>
        <v>0</v>
      </c>
      <c r="BD41" s="45">
        <f>VLOOKUP(ROW(AX4),$AT$38:$AY$42,5,FALSE)</f>
        <v>3</v>
      </c>
      <c r="BE41" s="55"/>
      <c r="BG41" s="42">
        <f>BJ41+COUNTIF(BJ$37:BJ40,BJ41)</f>
        <v>5</v>
      </c>
      <c r="BH41" s="44" t="str">
        <f>+AU41</f>
        <v>光ヶ丘シャークス</v>
      </c>
      <c r="BI41" s="42">
        <f>COUNT(B41:Y41)/2</f>
        <v>3</v>
      </c>
      <c r="BJ41" s="42">
        <f>RANK(BI41,BI$38:BI$42)</f>
        <v>4</v>
      </c>
      <c r="BK41" s="43">
        <f>VLOOKUP(ROW(BK4),$BG$38:$BJ$42,4,FALSE)</f>
        <v>4</v>
      </c>
      <c r="BL41" s="45" t="str">
        <f>VLOOKUP(ROW(BL4),$BG$38:$BJ$42,2,FALSE)</f>
        <v>松戸KSカージナルス
</v>
      </c>
    </row>
    <row r="42" spans="1:64" ht="19.5" customHeight="1">
      <c r="A42" s="79" t="s">
        <v>92</v>
      </c>
      <c r="B42" s="36"/>
      <c r="C42" s="37">
        <v>1</v>
      </c>
      <c r="D42" s="37"/>
      <c r="E42" s="38">
        <v>20</v>
      </c>
      <c r="F42" s="36"/>
      <c r="G42" s="37">
        <v>15</v>
      </c>
      <c r="H42" s="37"/>
      <c r="I42" s="38">
        <v>1</v>
      </c>
      <c r="J42" s="36"/>
      <c r="K42" s="37">
        <v>6</v>
      </c>
      <c r="L42" s="37"/>
      <c r="M42" s="38">
        <v>8</v>
      </c>
      <c r="N42" s="36"/>
      <c r="O42" s="37">
        <v>5</v>
      </c>
      <c r="P42" s="37"/>
      <c r="Q42" s="38">
        <v>15</v>
      </c>
      <c r="R42" s="36"/>
      <c r="S42" s="37"/>
      <c r="T42" s="37"/>
      <c r="U42" s="38"/>
      <c r="V42" s="36"/>
      <c r="W42" s="37">
        <f>IF(U43="","",U43)</f>
      </c>
      <c r="X42" s="37"/>
      <c r="Y42" s="38">
        <f>IF(S43="","",S43)</f>
      </c>
      <c r="Z42" s="36"/>
      <c r="AA42" s="37">
        <f>IF(U44="","",U44)</f>
      </c>
      <c r="AB42" s="37"/>
      <c r="AC42" s="38">
        <f>IF(S44="","",S44)</f>
      </c>
      <c r="AD42" s="36"/>
      <c r="AE42" s="37"/>
      <c r="AF42" s="37"/>
      <c r="AG42" s="38"/>
      <c r="AH42" s="30">
        <f t="shared" si="30"/>
        <v>1</v>
      </c>
      <c r="AI42" s="30">
        <f t="shared" si="31"/>
        <v>3</v>
      </c>
      <c r="AJ42" s="30">
        <f t="shared" si="32"/>
        <v>0</v>
      </c>
      <c r="AK42" s="31">
        <f t="shared" si="33"/>
        <v>2</v>
      </c>
      <c r="AL42" s="32">
        <f t="shared" si="34"/>
        <v>0</v>
      </c>
      <c r="AM42" s="33">
        <f t="shared" si="35"/>
        <v>0</v>
      </c>
      <c r="AN42" s="34">
        <f t="shared" si="36"/>
        <v>2</v>
      </c>
      <c r="AO42" s="30">
        <f t="shared" si="37"/>
        <v>27</v>
      </c>
      <c r="AP42" s="30">
        <f t="shared" si="38"/>
        <v>44</v>
      </c>
      <c r="AQ42" s="25">
        <f t="shared" si="39"/>
        <v>-17</v>
      </c>
      <c r="AR42" s="1"/>
      <c r="AS42" s="1"/>
      <c r="AT42" s="42">
        <f>AY42+COUNTIF(AY$37:AY41,AY42)</f>
        <v>5</v>
      </c>
      <c r="AU42" s="44" t="str">
        <f>+A42</f>
        <v>リトルキング</v>
      </c>
      <c r="AV42" s="42"/>
      <c r="AW42" s="42"/>
      <c r="AX42" s="42"/>
      <c r="AY42" s="42">
        <f>RANK(AV42,AV$38:AV$42)</f>
        <v>4</v>
      </c>
      <c r="AZ42" s="43">
        <f>VLOOKUP(ROW(AX5),$AT$38:$AY$42,6,FALSE)</f>
        <v>4</v>
      </c>
      <c r="BA42" s="45" t="str">
        <f>VLOOKUP(ROW(AX5),$AT$38:$AY$42,2,FALSE)</f>
        <v>リトルキング</v>
      </c>
      <c r="BB42" s="45">
        <f>VLOOKUP(ROW(AX5),$AT$38:$AY$42,3,FALSE)</f>
        <v>0</v>
      </c>
      <c r="BC42" s="45">
        <f>VLOOKUP(ROW(AX5),$AT$38:$AY$42,4,FALSE)</f>
        <v>0</v>
      </c>
      <c r="BD42" s="45">
        <f>VLOOKUP(ROW(AX5),$AT$38:$AY$42,5,FALSE)</f>
        <v>0</v>
      </c>
      <c r="BE42" s="55"/>
      <c r="BG42" s="42">
        <f>BJ42+COUNTIF(BJ$37:BJ41,BJ42)</f>
        <v>3</v>
      </c>
      <c r="BH42" s="44" t="str">
        <f>+AU42</f>
        <v>リトルキング</v>
      </c>
      <c r="BI42" s="42">
        <f>COUNT(B42:Y42)/2</f>
        <v>4</v>
      </c>
      <c r="BJ42" s="42">
        <f>RANK(BI42,BI$38:BI$42)</f>
        <v>1</v>
      </c>
      <c r="BK42" s="43">
        <f>VLOOKUP(ROW(BK5),$BG$38:$BJ$42,4,FALSE)</f>
        <v>4</v>
      </c>
      <c r="BL42" s="45" t="str">
        <f>VLOOKUP(ROW(BL5),$BG$38:$BJ$42,2,FALSE)</f>
        <v>光ヶ丘シャークス</v>
      </c>
    </row>
    <row r="43" spans="1:64" ht="19.5" customHeight="1">
      <c r="A43" s="79"/>
      <c r="B43" s="36"/>
      <c r="C43" s="37"/>
      <c r="D43" s="37"/>
      <c r="E43" s="38"/>
      <c r="F43" s="36"/>
      <c r="G43" s="37"/>
      <c r="H43" s="37"/>
      <c r="I43" s="38"/>
      <c r="J43" s="36"/>
      <c r="K43" s="37"/>
      <c r="L43" s="37"/>
      <c r="M43" s="38"/>
      <c r="N43" s="36"/>
      <c r="O43" s="37"/>
      <c r="P43" s="37"/>
      <c r="Q43" s="38"/>
      <c r="R43" s="36"/>
      <c r="S43" s="37"/>
      <c r="T43" s="37"/>
      <c r="U43" s="38"/>
      <c r="V43" s="36"/>
      <c r="W43" s="37"/>
      <c r="X43" s="37"/>
      <c r="Y43" s="38"/>
      <c r="Z43" s="36"/>
      <c r="AA43" s="37">
        <f>IF(Y44="","",Y44)</f>
      </c>
      <c r="AB43" s="37"/>
      <c r="AC43" s="38">
        <f>IF(W44="","",W44)</f>
      </c>
      <c r="AD43" s="36"/>
      <c r="AE43" s="37"/>
      <c r="AF43" s="37"/>
      <c r="AG43" s="38"/>
      <c r="AH43" s="30">
        <f t="shared" si="30"/>
        <v>0</v>
      </c>
      <c r="AI43" s="30">
        <f t="shared" si="31"/>
        <v>0</v>
      </c>
      <c r="AJ43" s="30">
        <f t="shared" si="32"/>
        <v>0</v>
      </c>
      <c r="AK43" s="31">
        <f t="shared" si="33"/>
        <v>0</v>
      </c>
      <c r="AL43" s="32">
        <f t="shared" si="34"/>
        <v>0</v>
      </c>
      <c r="AM43" s="33">
        <f t="shared" si="35"/>
        <v>0</v>
      </c>
      <c r="AN43" s="34">
        <f t="shared" si="36"/>
        <v>0</v>
      </c>
      <c r="AO43" s="30">
        <f t="shared" si="37"/>
        <v>0</v>
      </c>
      <c r="AP43" s="30">
        <f t="shared" si="38"/>
        <v>0</v>
      </c>
      <c r="AQ43" s="30">
        <f t="shared" si="39"/>
        <v>0</v>
      </c>
      <c r="AR43" s="1"/>
      <c r="AS43" s="1"/>
      <c r="AT43" s="42"/>
      <c r="AU43" s="44"/>
      <c r="AV43" s="42"/>
      <c r="AW43" s="42"/>
      <c r="AX43" s="42"/>
      <c r="AY43" s="42"/>
      <c r="AZ43" s="43"/>
      <c r="BA43" s="45"/>
      <c r="BB43" s="45"/>
      <c r="BC43" s="45"/>
      <c r="BD43" s="45"/>
      <c r="BE43" s="55"/>
      <c r="BG43" s="42"/>
      <c r="BH43" s="44"/>
      <c r="BI43" s="42"/>
      <c r="BJ43" s="42"/>
      <c r="BK43" s="43"/>
      <c r="BL43" s="45"/>
    </row>
    <row r="44" spans="1:64" ht="19.5" customHeight="1">
      <c r="A44" s="79"/>
      <c r="B44" s="36"/>
      <c r="C44" s="37"/>
      <c r="D44" s="37"/>
      <c r="E44" s="38"/>
      <c r="F44" s="36"/>
      <c r="G44" s="37"/>
      <c r="H44" s="37"/>
      <c r="I44" s="38"/>
      <c r="J44" s="36"/>
      <c r="K44" s="37"/>
      <c r="L44" s="37"/>
      <c r="M44" s="38"/>
      <c r="N44" s="36"/>
      <c r="O44" s="37"/>
      <c r="P44" s="37"/>
      <c r="Q44" s="38"/>
      <c r="R44" s="36"/>
      <c r="S44" s="37"/>
      <c r="T44" s="37"/>
      <c r="U44" s="38"/>
      <c r="V44" s="36"/>
      <c r="W44" s="37"/>
      <c r="X44" s="37"/>
      <c r="Y44" s="38"/>
      <c r="Z44" s="36"/>
      <c r="AA44" s="37"/>
      <c r="AB44" s="37"/>
      <c r="AC44" s="38"/>
      <c r="AD44" s="36"/>
      <c r="AE44" s="37"/>
      <c r="AF44" s="37"/>
      <c r="AG44" s="38"/>
      <c r="AH44" s="30">
        <f>IF(C44&gt;E44,1,0)+IF(G44&gt;I44,1,0)+IF(K44&gt;M44,1,0)+IF(O44&gt;Q44,1,0)+IF(S44&gt;U44,1,0)+IF(W44&gt;Y44,1,0)+IF(AA44&gt;AC44,1,0)+IF(AE44&gt;AG44,1,0)</f>
        <v>0</v>
      </c>
      <c r="AI44" s="30">
        <f>IF(C44&lt;E44,1,0)+IF(G44&lt;I44,1,0)+IF(K44&lt;M44,1,0)+IF(O44&lt;Q44,1,0)+IF(S44&lt;U44,1,0)+IF(W44&lt;Y44,1,0)+IF(AA44&lt;AC44,1,0)+IF(AE44&lt;AG44,1,0)</f>
        <v>0</v>
      </c>
      <c r="AJ44" s="30">
        <f>IF(AND(ISNUMBER(C44),C44=E44),1,0)+IF(AND(ISNUMBER(G44),G44=I44),1,0)+IF(AND(ISNUMBER(K44),K44=M44),1,)+IF(AND(ISNUMBER(O44),O44=Q44),1,0)+IF(AND(ISNUMBER(S44),S44=U44),1,0)+IF(AND(ISNUMBER(W44),W44=Y44),1,0)+IF(AND(ISNUMBER(AA44),AA44=AC44),1,0)+IF(AND(ISNUMBER(AE44),AE44=AG44),1,0)</f>
        <v>0</v>
      </c>
      <c r="AK44" s="31">
        <f>AH44*2</f>
        <v>0</v>
      </c>
      <c r="AL44" s="32">
        <f>AI44*0</f>
        <v>0</v>
      </c>
      <c r="AM44" s="33">
        <f>AJ44*1</f>
        <v>0</v>
      </c>
      <c r="AN44" s="34">
        <f>AK44+AL44+AM44</f>
        <v>0</v>
      </c>
      <c r="AO44" s="30">
        <f>IF(ISNUMBER(G44),G44,0)+IF(ISNUMBER(K44),K44,0)+IF(ISNUMBER(O44),O44,0)+IF(ISNUMBER(AA44),AA44,0)+IF(ISNUMBER(AE44),AE44,0)+IF(ISNUMBER(S44),S44,0)+IF(ISNUMBER(W44),W44,0)+IF(ISNUMBER(C44),C44,0)</f>
        <v>0</v>
      </c>
      <c r="AP44" s="30">
        <f>IF(ISNUMBER(I44),I44,0)+IF(ISNUMBER(M44),M44,0)+IF(ISNUMBER(Q44),Q44,0)+IF(ISNUMBER(AC44),AC44,0)+IF(ISNUMBER(AG44),AG44,0)+IF(ISNUMBER(U44),U44,0)+IF(ISNUMBER(Y44),Y44,0)+IF(ISNUMBER(E44),E44,0)</f>
        <v>0</v>
      </c>
      <c r="AQ44" s="30">
        <f>AO44-AP44</f>
        <v>0</v>
      </c>
      <c r="AR44" s="1"/>
      <c r="AS44" s="1"/>
      <c r="AT44" s="42"/>
      <c r="AU44" s="44"/>
      <c r="AV44" s="42"/>
      <c r="AW44" s="42"/>
      <c r="AX44" s="42"/>
      <c r="AY44" s="42"/>
      <c r="AZ44" s="43"/>
      <c r="BA44" s="45"/>
      <c r="BB44" s="45"/>
      <c r="BC44" s="45"/>
      <c r="BD44" s="45"/>
      <c r="BE44" s="55"/>
      <c r="BG44" s="42"/>
      <c r="BH44" s="44"/>
      <c r="BI44" s="42"/>
      <c r="BJ44" s="42"/>
      <c r="BK44" s="43"/>
      <c r="BL44" s="45"/>
    </row>
    <row r="45" spans="1:64" ht="19.5" customHeight="1">
      <c r="A45" s="83"/>
      <c r="B45" s="36"/>
      <c r="C45" s="37"/>
      <c r="D45" s="37"/>
      <c r="E45" s="38"/>
      <c r="F45" s="36"/>
      <c r="G45" s="37"/>
      <c r="H45" s="37"/>
      <c r="I45" s="38"/>
      <c r="J45" s="36"/>
      <c r="K45" s="37"/>
      <c r="L45" s="37"/>
      <c r="M45" s="38"/>
      <c r="N45" s="36"/>
      <c r="O45" s="37"/>
      <c r="P45" s="37"/>
      <c r="Q45" s="38"/>
      <c r="R45" s="36"/>
      <c r="S45" s="37"/>
      <c r="T45" s="37"/>
      <c r="U45" s="38"/>
      <c r="V45" s="36"/>
      <c r="W45" s="37"/>
      <c r="X45" s="37"/>
      <c r="Y45" s="38"/>
      <c r="Z45" s="36"/>
      <c r="AA45" s="37"/>
      <c r="AB45" s="37"/>
      <c r="AC45" s="38"/>
      <c r="AD45" s="36"/>
      <c r="AE45" s="37"/>
      <c r="AF45" s="37"/>
      <c r="AG45" s="38"/>
      <c r="AH45" s="30"/>
      <c r="AI45" s="30"/>
      <c r="AJ45" s="30"/>
      <c r="AK45" s="31"/>
      <c r="AL45" s="32"/>
      <c r="AM45" s="33"/>
      <c r="AN45" s="34"/>
      <c r="AO45" s="30"/>
      <c r="AP45" s="30"/>
      <c r="AQ45" s="30"/>
      <c r="AR45" s="1"/>
      <c r="AS45" s="1"/>
      <c r="AT45" s="42"/>
      <c r="AU45" s="44"/>
      <c r="AV45" s="42"/>
      <c r="AW45" s="42"/>
      <c r="AX45" s="42"/>
      <c r="AY45" s="42"/>
      <c r="AZ45" s="43"/>
      <c r="BA45" s="45"/>
      <c r="BB45" s="45"/>
      <c r="BC45" s="45"/>
      <c r="BD45" s="45"/>
      <c r="BE45" s="55"/>
      <c r="BG45" s="42"/>
      <c r="BH45" s="44"/>
      <c r="BI45" s="42"/>
      <c r="BJ45" s="42"/>
      <c r="BK45" s="43"/>
      <c r="BL45" s="45"/>
    </row>
    <row r="46" spans="1:62" ht="19.5" customHeight="1">
      <c r="A46" s="4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6">
        <f>SUM(AH38:AH45)</f>
        <v>9</v>
      </c>
      <c r="AJ46" s="6">
        <f>SUM(AI38:AI45)</f>
        <v>9</v>
      </c>
      <c r="AK46" s="6">
        <f>SUM(AJ38:AJ45)</f>
        <v>0</v>
      </c>
      <c r="AL46" s="6"/>
      <c r="AM46" s="6"/>
      <c r="AN46" s="1"/>
      <c r="AO46" s="6">
        <f>SUM(AO38:AO45)</f>
        <v>138</v>
      </c>
      <c r="AP46" s="6">
        <f>SUM(AP38:AP45)</f>
        <v>138</v>
      </c>
      <c r="AQ46" s="6">
        <f>SUM(AQ38:AQ45)</f>
        <v>0</v>
      </c>
      <c r="BI46" s="53">
        <f>SUM(BI38:BI45)/2</f>
        <v>9</v>
      </c>
      <c r="BJ46" s="3">
        <f>4*5/2</f>
        <v>10</v>
      </c>
    </row>
    <row r="47" spans="1:47" ht="19.5" customHeight="1">
      <c r="A47" s="4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60">
        <f>IF(AI46=AJ46,"","計算間違い")</f>
      </c>
      <c r="AM47" s="1"/>
      <c r="AN47" s="1"/>
      <c r="AO47" s="1"/>
      <c r="AP47" s="60">
        <f>IF(AK46/2=TRUNC(AK46/2,0),"","計算間違い")</f>
      </c>
      <c r="AQ47" s="1"/>
      <c r="AR47" s="1"/>
      <c r="AS47" s="6"/>
      <c r="AT47" s="6"/>
      <c r="AU47" s="6"/>
    </row>
    <row r="48" spans="1:47" ht="19.5" customHeight="1">
      <c r="A48" s="4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6"/>
      <c r="AT48" s="6"/>
      <c r="AU48" s="6"/>
    </row>
    <row r="49" spans="1:47" ht="19.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60"/>
      <c r="AM49" s="1"/>
      <c r="AN49" s="1"/>
      <c r="AO49" s="1"/>
      <c r="AP49" s="60"/>
      <c r="AQ49" s="1"/>
      <c r="AR49" s="1"/>
      <c r="AS49" s="1"/>
      <c r="AT49" s="1"/>
      <c r="AU49" s="1"/>
    </row>
    <row r="50" spans="1:63" ht="19.5" customHeight="1">
      <c r="A50" s="182"/>
      <c r="B50" s="182"/>
      <c r="C50" s="182"/>
      <c r="D50" s="182"/>
      <c r="E50" s="182"/>
      <c r="F50" s="182"/>
      <c r="G50" s="182"/>
      <c r="H50" s="182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BI50" s="53">
        <f>+BI46+BI35+BI24+BI12</f>
        <v>26</v>
      </c>
      <c r="BJ50" s="53">
        <f>BJ46+BJ35+BJ24+BJ12</f>
        <v>40</v>
      </c>
      <c r="BK50" s="3">
        <f>+BI50/BJ50</f>
        <v>0.65</v>
      </c>
    </row>
    <row r="51" spans="1:47" ht="19.5" customHeight="1">
      <c r="A51" s="9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1"/>
      <c r="AM51" s="1"/>
      <c r="AN51" s="1"/>
      <c r="AO51" s="1"/>
      <c r="AP51" s="1"/>
      <c r="AQ51" s="1"/>
      <c r="AR51" s="1"/>
      <c r="AS51" s="1"/>
      <c r="AT51" s="1"/>
      <c r="AU51" s="1"/>
    </row>
    <row r="52" spans="1:47" ht="19.5" customHeight="1">
      <c r="A52" s="96"/>
      <c r="B52" s="16"/>
      <c r="C52" s="16"/>
      <c r="D52" s="90"/>
      <c r="E52" s="95"/>
      <c r="F52" s="91"/>
      <c r="G52" s="16"/>
      <c r="H52" s="11"/>
      <c r="I52" s="11"/>
      <c r="J52" s="172"/>
      <c r="K52" s="172"/>
      <c r="L52" s="172"/>
      <c r="M52" s="172"/>
      <c r="N52" s="11"/>
      <c r="O52" s="11"/>
      <c r="P52" s="11"/>
      <c r="Q52" s="93"/>
      <c r="R52" s="13"/>
      <c r="S52" s="6"/>
      <c r="T52" s="13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13"/>
      <c r="AI52" s="13"/>
      <c r="AJ52" s="13"/>
      <c r="AK52" s="14"/>
      <c r="AL52" s="1"/>
      <c r="AM52" s="1"/>
      <c r="AN52" s="1"/>
      <c r="AO52" s="1"/>
      <c r="AP52" s="1"/>
      <c r="AQ52" s="1"/>
      <c r="AR52" s="1"/>
      <c r="AS52" s="1"/>
      <c r="AT52" s="1"/>
      <c r="AU52" s="1"/>
    </row>
    <row r="53" spans="1:47" ht="19.5" customHeight="1">
      <c r="A53" s="96"/>
      <c r="B53" s="94"/>
      <c r="C53" s="89"/>
      <c r="D53" s="94"/>
      <c r="E53" s="172"/>
      <c r="F53" s="172"/>
      <c r="G53" s="97"/>
      <c r="H53" s="65"/>
      <c r="I53" s="15"/>
      <c r="J53" s="15"/>
      <c r="K53" s="15"/>
      <c r="L53" s="15"/>
      <c r="M53" s="15"/>
      <c r="N53" s="66"/>
      <c r="O53" s="98"/>
      <c r="P53" s="172"/>
      <c r="Q53" s="172"/>
      <c r="R53" s="65"/>
      <c r="S53" s="80"/>
      <c r="T53" s="13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13"/>
      <c r="AI53" s="18"/>
      <c r="AJ53" s="18"/>
      <c r="AK53" s="14"/>
      <c r="AL53" s="1"/>
      <c r="AM53" s="1"/>
      <c r="AN53" s="1"/>
      <c r="AO53" s="1"/>
      <c r="AP53" s="1"/>
      <c r="AQ53" s="1"/>
      <c r="AR53" s="1"/>
      <c r="AS53" s="1"/>
      <c r="AT53" s="1"/>
      <c r="AU53" s="1"/>
    </row>
    <row r="54" spans="1:47" ht="19.5" customHeight="1">
      <c r="A54" s="96"/>
      <c r="B54" s="94"/>
      <c r="C54" s="94"/>
      <c r="D54" s="94"/>
      <c r="E54" s="66"/>
      <c r="F54" s="99"/>
      <c r="G54" s="172"/>
      <c r="H54" s="172"/>
      <c r="I54" s="65"/>
      <c r="J54" s="65"/>
      <c r="K54" s="15"/>
      <c r="L54" s="66"/>
      <c r="M54" s="100"/>
      <c r="N54" s="172"/>
      <c r="O54" s="172"/>
      <c r="P54" s="98"/>
      <c r="Q54" s="65"/>
      <c r="R54" s="13"/>
      <c r="S54" s="6"/>
      <c r="T54" s="13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13"/>
      <c r="AI54" s="18"/>
      <c r="AJ54" s="18"/>
      <c r="AK54" s="14"/>
      <c r="AL54" s="1"/>
      <c r="AM54" s="1"/>
      <c r="AN54" s="1"/>
      <c r="AO54" s="1"/>
      <c r="AP54" s="1"/>
      <c r="AQ54" s="1"/>
      <c r="AR54" s="1"/>
      <c r="AS54" s="1"/>
      <c r="AT54" s="1"/>
      <c r="AU54" s="1"/>
    </row>
    <row r="55" spans="1:47" ht="19.5" customHeight="1">
      <c r="A55" s="6"/>
      <c r="B55" s="6"/>
      <c r="C55" s="174"/>
      <c r="D55" s="174"/>
      <c r="E55" s="174"/>
      <c r="F55" s="174"/>
      <c r="G55" s="101"/>
      <c r="H55" s="101"/>
      <c r="I55" s="174"/>
      <c r="J55" s="174"/>
      <c r="K55" s="101"/>
      <c r="L55" s="174"/>
      <c r="M55" s="174"/>
      <c r="N55" s="101"/>
      <c r="O55" s="101"/>
      <c r="P55" s="174"/>
      <c r="Q55" s="174"/>
      <c r="R55" s="174"/>
      <c r="S55" s="174"/>
      <c r="T55" s="6"/>
      <c r="U55" s="6"/>
      <c r="V55" s="6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</row>
    <row r="56" spans="1:47" ht="19.5" customHeight="1">
      <c r="A56" s="6"/>
      <c r="B56" s="6"/>
      <c r="C56" s="174"/>
      <c r="D56" s="174"/>
      <c r="E56" s="174"/>
      <c r="F56" s="174"/>
      <c r="G56" s="101"/>
      <c r="H56" s="101"/>
      <c r="I56" s="174"/>
      <c r="J56" s="174"/>
      <c r="K56" s="101"/>
      <c r="L56" s="174"/>
      <c r="M56" s="174"/>
      <c r="N56" s="101"/>
      <c r="O56" s="101"/>
      <c r="P56" s="174"/>
      <c r="Q56" s="174"/>
      <c r="R56" s="174"/>
      <c r="S56" s="174"/>
      <c r="T56" s="6"/>
      <c r="U56" s="6"/>
      <c r="V56" s="6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</row>
    <row r="57" spans="1:47" ht="19.5" customHeight="1">
      <c r="A57" s="6"/>
      <c r="B57" s="6"/>
      <c r="C57" s="174"/>
      <c r="D57" s="174"/>
      <c r="E57" s="174"/>
      <c r="F57" s="174"/>
      <c r="G57" s="101"/>
      <c r="H57" s="101"/>
      <c r="I57" s="174"/>
      <c r="J57" s="174"/>
      <c r="K57" s="101"/>
      <c r="L57" s="174"/>
      <c r="M57" s="174"/>
      <c r="N57" s="101"/>
      <c r="O57" s="101"/>
      <c r="P57" s="174"/>
      <c r="Q57" s="174"/>
      <c r="R57" s="174"/>
      <c r="S57" s="174"/>
      <c r="T57" s="6"/>
      <c r="U57" s="6"/>
      <c r="V57" s="6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</row>
    <row r="58" spans="1:47" ht="60" customHeight="1">
      <c r="A58" s="6"/>
      <c r="B58" s="6"/>
      <c r="C58" s="174"/>
      <c r="D58" s="174"/>
      <c r="E58" s="174"/>
      <c r="F58" s="174"/>
      <c r="G58" s="101"/>
      <c r="H58" s="101"/>
      <c r="I58" s="174"/>
      <c r="J58" s="174"/>
      <c r="K58" s="101"/>
      <c r="L58" s="174"/>
      <c r="M58" s="174"/>
      <c r="N58" s="101"/>
      <c r="O58" s="101"/>
      <c r="P58" s="174"/>
      <c r="Q58" s="174"/>
      <c r="R58" s="174"/>
      <c r="S58" s="174"/>
      <c r="T58" s="6"/>
      <c r="U58" s="6"/>
      <c r="V58" s="6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</row>
    <row r="59" spans="1:37" ht="19.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</row>
    <row r="60" spans="1:37" ht="19.5" customHeight="1">
      <c r="A60" s="1"/>
      <c r="B60" s="1"/>
      <c r="C60" s="70">
        <f>+'戦績'!C42</f>
        <v>44743</v>
      </c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</row>
    <row r="61" ht="19.5" customHeight="1">
      <c r="C61" s="70">
        <f>+'戦績'!C43</f>
        <v>45327</v>
      </c>
    </row>
  </sheetData>
  <sheetProtection/>
  <mergeCells count="69">
    <mergeCell ref="Y2:AD2"/>
    <mergeCell ref="AJ2:AK2"/>
    <mergeCell ref="G2:J2"/>
    <mergeCell ref="K2:N2"/>
    <mergeCell ref="O2:S2"/>
    <mergeCell ref="U2:X2"/>
    <mergeCell ref="B3:E3"/>
    <mergeCell ref="F3:I3"/>
    <mergeCell ref="J3:M3"/>
    <mergeCell ref="N3:Q3"/>
    <mergeCell ref="AD15:AG15"/>
    <mergeCell ref="Z3:AC3"/>
    <mergeCell ref="AD3:AG3"/>
    <mergeCell ref="G14:J14"/>
    <mergeCell ref="K14:N14"/>
    <mergeCell ref="O14:S14"/>
    <mergeCell ref="U14:X14"/>
    <mergeCell ref="Y14:AD14"/>
    <mergeCell ref="R3:U3"/>
    <mergeCell ref="V3:Y3"/>
    <mergeCell ref="Y25:AD25"/>
    <mergeCell ref="AJ25:AK25"/>
    <mergeCell ref="AJ14:AK14"/>
    <mergeCell ref="Z15:AC15"/>
    <mergeCell ref="B15:E15"/>
    <mergeCell ref="F15:I15"/>
    <mergeCell ref="J15:M15"/>
    <mergeCell ref="N15:Q15"/>
    <mergeCell ref="R15:U15"/>
    <mergeCell ref="V15:Y15"/>
    <mergeCell ref="V26:Y26"/>
    <mergeCell ref="G25:J25"/>
    <mergeCell ref="K25:N25"/>
    <mergeCell ref="O25:S25"/>
    <mergeCell ref="U25:X25"/>
    <mergeCell ref="B26:E26"/>
    <mergeCell ref="F26:I26"/>
    <mergeCell ref="J26:M26"/>
    <mergeCell ref="N26:Q26"/>
    <mergeCell ref="Z37:AC37"/>
    <mergeCell ref="AD37:AG37"/>
    <mergeCell ref="Z26:AC26"/>
    <mergeCell ref="AD26:AG26"/>
    <mergeCell ref="G36:J36"/>
    <mergeCell ref="K36:N36"/>
    <mergeCell ref="O36:S36"/>
    <mergeCell ref="U36:X36"/>
    <mergeCell ref="Y36:AD36"/>
    <mergeCell ref="R26:U26"/>
    <mergeCell ref="N54:O54"/>
    <mergeCell ref="C55:D58"/>
    <mergeCell ref="E55:F58"/>
    <mergeCell ref="AJ36:AK36"/>
    <mergeCell ref="B37:E37"/>
    <mergeCell ref="F37:I37"/>
    <mergeCell ref="J37:M37"/>
    <mergeCell ref="N37:Q37"/>
    <mergeCell ref="R37:U37"/>
    <mergeCell ref="V37:Y37"/>
    <mergeCell ref="I55:J58"/>
    <mergeCell ref="L55:M58"/>
    <mergeCell ref="P55:Q58"/>
    <mergeCell ref="R55:S58"/>
    <mergeCell ref="A50:H50"/>
    <mergeCell ref="J52:K52"/>
    <mergeCell ref="L52:M52"/>
    <mergeCell ref="E53:F53"/>
    <mergeCell ref="P53:Q53"/>
    <mergeCell ref="G54:H54"/>
  </mergeCells>
  <conditionalFormatting sqref="K40 S8 G17:G18 O30:O31 W21 AA22 O19 AE23 C16 S20 K29 W32 G28 AE34 C27 O41:O42 W43 G39 AA44 AE45 C38 G5:G6 AA10 O7 AE11 C4 W9">
    <cfRule type="cellIs" priority="28" dxfId="258" operator="greaterThanOrEqual" stopIfTrue="1">
      <formula>E4</formula>
    </cfRule>
    <cfRule type="cellIs" priority="29" dxfId="259" operator="lessThanOrEqual" stopIfTrue="1">
      <formula>E4</formula>
    </cfRule>
  </conditionalFormatting>
  <conditionalFormatting sqref="M40 U8 I17:I18 Q30:Q31 Y21 AC22 Q19 AG23 E16 U20 M29 Y32 I28 AG34 E27 Q41:Q42 Y43 I39 AC44 AG45 E38 I5:I6 AC10 Q7 AG11 E4 Y9">
    <cfRule type="cellIs" priority="30" dxfId="258" operator="lessThanOrEqual" stopIfTrue="1">
      <formula>C4</formula>
    </cfRule>
    <cfRule type="cellIs" priority="31" dxfId="259" operator="greaterThanOrEqual" stopIfTrue="1">
      <formula>C4</formula>
    </cfRule>
  </conditionalFormatting>
  <conditionalFormatting sqref="E17:E23 Q16:Q18 M16:M23 AG16:AG22 AC16:AC21 Y16:Y20 U16:U19 I16 I19:I23 AC23 Y22:Y23 U21:U23 Q20:Q23 E28:E34 I27 M27:M28 Q27:Q29 Q32:Q34 AC34 Y33:Y34 E39:E45 I38 M38 Q38:Q40 Q43:Q45 AC45 Y44:Y45 Y38:Y42 U38:U45 M41:M45 Q8:Q11 AC38:AC43 Y27:Y31 U27:U34 I29:I34 M30:M34 AG27:AG33 E5:E11 Q4:Q6 M4:M11 AG4:AG10 AC4:AC9 I40:I45 U4:U7 I4 I7:I11 AC11 U9:U11 AG38:AG44 Y4:Y8 Y10:Y11">
    <cfRule type="cellIs" priority="32" dxfId="258" operator="lessThan" stopIfTrue="1">
      <formula>C4</formula>
    </cfRule>
    <cfRule type="cellIs" priority="33" dxfId="259" operator="greaterThan" stopIfTrue="1">
      <formula>C4</formula>
    </cfRule>
    <cfRule type="cellIs" priority="34" dxfId="260" operator="equal" stopIfTrue="1">
      <formula>C4</formula>
    </cfRule>
  </conditionalFormatting>
  <conditionalFormatting sqref="O16:O18 K16:K23 C17:C23 AE16:AE22 AA16:AA21 W16:W20 S16:S19 G16 G19:G23 AA23 W22:W23 S21:S23 O20:O23 W27:W31 G27 K27:K28 O27:O29 O32:O34 AA34 W33:W34 W38:W42 G38 K38 O38:O40 O43:O45 AA45 W44:W45 S38:S45 C39:C45 K41:K45 O8:O11 AA38:AA43 S27:S34 C28:C34 G29:G34 K30:K34 AE27:AE33 O4:O6 K4:K11 C5:C11 AE4:AE10 AA4:AA9 G40:G45 S4:S7 G4 G7:G11 AA11 S9:S11 AE38:AE44 W4:W8 W10:W11">
    <cfRule type="cellIs" priority="35" dxfId="258" operator="greaterThan" stopIfTrue="1">
      <formula>E4</formula>
    </cfRule>
    <cfRule type="cellIs" priority="36" dxfId="259" operator="lessThan" stopIfTrue="1">
      <formula>E4</formula>
    </cfRule>
    <cfRule type="cellIs" priority="37" dxfId="260" operator="equal" stopIfTrue="1">
      <formula>E4</formula>
    </cfRule>
  </conditionalFormatting>
  <conditionalFormatting sqref="O42">
    <cfRule type="cellIs" priority="25" dxfId="258" operator="greaterThan" stopIfTrue="1">
      <formula>Q42</formula>
    </cfRule>
    <cfRule type="cellIs" priority="26" dxfId="259" operator="lessThan" stopIfTrue="1">
      <formula>Q42</formula>
    </cfRule>
    <cfRule type="cellIs" priority="27" dxfId="260" operator="equal" stopIfTrue="1">
      <formula>Q42</formula>
    </cfRule>
  </conditionalFormatting>
  <conditionalFormatting sqref="Q42">
    <cfRule type="cellIs" priority="23" dxfId="258" operator="greaterThanOrEqual" stopIfTrue="1">
      <formula>S42</formula>
    </cfRule>
    <cfRule type="cellIs" priority="24" dxfId="259" operator="lessThanOrEqual" stopIfTrue="1">
      <formula>S42</formula>
    </cfRule>
  </conditionalFormatting>
  <conditionalFormatting sqref="Q42">
    <cfRule type="cellIs" priority="20" dxfId="258" operator="greaterThan" stopIfTrue="1">
      <formula>S42</formula>
    </cfRule>
    <cfRule type="cellIs" priority="21" dxfId="259" operator="lessThan" stopIfTrue="1">
      <formula>S42</formula>
    </cfRule>
    <cfRule type="cellIs" priority="22" dxfId="260" operator="equal" stopIfTrue="1">
      <formula>S42</formula>
    </cfRule>
  </conditionalFormatting>
  <conditionalFormatting sqref="Q42">
    <cfRule type="cellIs" priority="17" dxfId="258" operator="lessThan" stopIfTrue="1">
      <formula>O42</formula>
    </cfRule>
    <cfRule type="cellIs" priority="18" dxfId="259" operator="greaterThan" stopIfTrue="1">
      <formula>O42</formula>
    </cfRule>
    <cfRule type="cellIs" priority="19" dxfId="260" operator="equal" stopIfTrue="1">
      <formula>O42</formula>
    </cfRule>
  </conditionalFormatting>
  <conditionalFormatting sqref="M39">
    <cfRule type="cellIs" priority="11" dxfId="258" operator="lessThan" stopIfTrue="1">
      <formula>K39</formula>
    </cfRule>
    <cfRule type="cellIs" priority="12" dxfId="259" operator="greaterThan" stopIfTrue="1">
      <formula>K39</formula>
    </cfRule>
    <cfRule type="cellIs" priority="13" dxfId="260" operator="equal" stopIfTrue="1">
      <formula>K39</formula>
    </cfRule>
  </conditionalFormatting>
  <conditionalFormatting sqref="K39">
    <cfRule type="cellIs" priority="14" dxfId="258" operator="greaterThan" stopIfTrue="1">
      <formula>M39</formula>
    </cfRule>
    <cfRule type="cellIs" priority="15" dxfId="259" operator="lessThan" stopIfTrue="1">
      <formula>M39</formula>
    </cfRule>
    <cfRule type="cellIs" priority="16" dxfId="260" operator="equal" stopIfTrue="1">
      <formula>M39</formula>
    </cfRule>
  </conditionalFormatting>
  <conditionalFormatting sqref="AA33">
    <cfRule type="cellIs" priority="1" dxfId="258" operator="greaterThanOrEqual" stopIfTrue="1">
      <formula>AC33</formula>
    </cfRule>
    <cfRule type="cellIs" priority="2" dxfId="259" operator="lessThanOrEqual" stopIfTrue="1">
      <formula>AC33</formula>
    </cfRule>
  </conditionalFormatting>
  <conditionalFormatting sqref="AC33">
    <cfRule type="cellIs" priority="3" dxfId="258" operator="lessThanOrEqual" stopIfTrue="1">
      <formula>AA33</formula>
    </cfRule>
    <cfRule type="cellIs" priority="4" dxfId="259" operator="greaterThanOrEqual" stopIfTrue="1">
      <formula>AA33</formula>
    </cfRule>
  </conditionalFormatting>
  <conditionalFormatting sqref="AC27:AC32">
    <cfRule type="cellIs" priority="5" dxfId="258" operator="lessThan" stopIfTrue="1">
      <formula>AA27</formula>
    </cfRule>
    <cfRule type="cellIs" priority="6" dxfId="259" operator="greaterThan" stopIfTrue="1">
      <formula>AA27</formula>
    </cfRule>
    <cfRule type="cellIs" priority="7" dxfId="260" operator="equal" stopIfTrue="1">
      <formula>AA27</formula>
    </cfRule>
  </conditionalFormatting>
  <conditionalFormatting sqref="AA27:AA32">
    <cfRule type="cellIs" priority="8" dxfId="258" operator="greaterThan" stopIfTrue="1">
      <formula>AC27</formula>
    </cfRule>
    <cfRule type="cellIs" priority="9" dxfId="259" operator="lessThan" stopIfTrue="1">
      <formula>AC27</formula>
    </cfRule>
    <cfRule type="cellIs" priority="10" dxfId="260" operator="equal" stopIfTrue="1">
      <formula>AC27</formula>
    </cfRule>
  </conditionalFormatting>
  <printOptions horizontalCentered="1"/>
  <pageMargins left="0.3937007874015748" right="0.3937007874015748" top="0.984251968503937" bottom="0.5511811023622047" header="0.5118110236220472" footer="0.5118110236220472"/>
  <pageSetup cellComments="asDisplayed" horizontalDpi="300" verticalDpi="300" orientation="landscape" paperSize="8" r:id="rId2"/>
  <headerFooter alignWithMargins="0">
    <oddHeader>&amp;C２０２３年小金原地区近隣大会Ｂ戦組み合わせ表</oddHeader>
  </headerFooter>
  <rowBreaks count="1" manualBreakCount="1">
    <brk id="35" max="32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X215"/>
  <sheetViews>
    <sheetView zoomScaleSheetLayoutView="100" workbookViewId="0" topLeftCell="A58">
      <selection activeCell="AV62" sqref="AV62"/>
    </sheetView>
  </sheetViews>
  <sheetFormatPr defaultColWidth="9.00390625" defaultRowHeight="19.5" customHeight="1"/>
  <cols>
    <col min="1" max="1" width="15.125" style="3" customWidth="1"/>
    <col min="2" max="6" width="2.625" style="3" customWidth="1"/>
    <col min="7" max="7" width="3.125" style="3" customWidth="1"/>
    <col min="8" max="18" width="2.625" style="3" customWidth="1"/>
    <col min="19" max="19" width="3.25390625" style="3" customWidth="1"/>
    <col min="20" max="33" width="2.625" style="3" customWidth="1"/>
    <col min="34" max="39" width="2.625" style="3" hidden="1" customWidth="1"/>
    <col min="40" max="40" width="2.625" style="19" hidden="1" customWidth="1"/>
    <col min="41" max="41" width="2.625" style="3" hidden="1" customWidth="1"/>
    <col min="42" max="45" width="2.625" style="3" customWidth="1"/>
    <col min="46" max="55" width="3.625" style="3" customWidth="1"/>
    <col min="56" max="56" width="3.00390625" style="3" customWidth="1"/>
    <col min="57" max="57" width="3.375" style="3" customWidth="1"/>
    <col min="58" max="58" width="4.25390625" style="3" customWidth="1"/>
    <col min="59" max="59" width="14.75390625" style="3" customWidth="1"/>
    <col min="60" max="62" width="5.875" style="3" customWidth="1"/>
    <col min="63" max="63" width="5.125" style="3" customWidth="1"/>
    <col min="64" max="64" width="4.625" style="3" customWidth="1"/>
    <col min="65" max="65" width="16.25390625" style="3" customWidth="1"/>
    <col min="66" max="68" width="4.625" style="3" customWidth="1"/>
    <col min="69" max="69" width="3.25390625" style="3" customWidth="1"/>
    <col min="70" max="70" width="3.125" style="3" customWidth="1"/>
    <col min="71" max="71" width="3.625" style="3" customWidth="1"/>
    <col min="72" max="72" width="17.375" style="3" customWidth="1"/>
    <col min="73" max="73" width="6.25390625" style="3" customWidth="1"/>
    <col min="74" max="74" width="3.875" style="3" customWidth="1"/>
    <col min="75" max="75" width="3.75390625" style="3" customWidth="1"/>
    <col min="76" max="76" width="21.00390625" style="3" customWidth="1"/>
    <col min="77" max="16384" width="9.00390625" style="3" customWidth="1"/>
  </cols>
  <sheetData>
    <row r="1" spans="1:57" ht="19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2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</row>
    <row r="2" spans="1:57" ht="19.5" customHeight="1">
      <c r="A2" s="1" t="s">
        <v>0</v>
      </c>
      <c r="B2" s="73" t="s">
        <v>53</v>
      </c>
      <c r="C2" s="51"/>
      <c r="D2" s="51"/>
      <c r="E2" s="51"/>
      <c r="F2" s="51"/>
      <c r="G2" s="171" t="str">
        <f>"１日"&amp;ROUND((BV15-BU15)/'戦績'!N42,1)&amp;"試合"</f>
        <v>１日0試合</v>
      </c>
      <c r="H2" s="171"/>
      <c r="I2" s="171"/>
      <c r="J2" s="171"/>
      <c r="K2" s="163" t="s">
        <v>20</v>
      </c>
      <c r="L2" s="163"/>
      <c r="M2" s="163"/>
      <c r="N2" s="163"/>
      <c r="O2" s="165" t="str">
        <f>IF(C71&gt;C70,+BM4,"")</f>
        <v>増尾レッドスターズ</v>
      </c>
      <c r="P2" s="165"/>
      <c r="Q2" s="165"/>
      <c r="R2" s="165"/>
      <c r="S2" s="165"/>
      <c r="T2" s="52"/>
      <c r="U2" s="163" t="s">
        <v>21</v>
      </c>
      <c r="V2" s="163"/>
      <c r="W2" s="163"/>
      <c r="X2" s="163"/>
      <c r="Y2" s="165" t="str">
        <f>IF(C71&gt;C70,+BM5,"")</f>
        <v>前崎クラブ</v>
      </c>
      <c r="Z2" s="165"/>
      <c r="AA2" s="165"/>
      <c r="AB2" s="165"/>
      <c r="AC2" s="165"/>
      <c r="AD2" s="165"/>
      <c r="AE2" s="54" t="s">
        <v>26</v>
      </c>
      <c r="AF2" s="1"/>
      <c r="AG2" s="1"/>
      <c r="AH2" s="1"/>
      <c r="AI2" s="1"/>
      <c r="AJ2" s="1"/>
      <c r="AK2" s="1"/>
      <c r="AL2" s="1"/>
      <c r="AM2" s="1"/>
      <c r="AO2" s="1"/>
      <c r="AP2" s="1"/>
      <c r="AQ2" s="1"/>
      <c r="AR2" s="184">
        <f>+BU15/(MAX(BF4:BF13)*(MAX(BF4:BF13)-1)/2)</f>
        <v>0.7666666666666667</v>
      </c>
      <c r="AS2" s="184"/>
      <c r="AT2" s="1"/>
      <c r="AU2" s="1"/>
      <c r="AV2" s="1"/>
      <c r="AW2" s="1" t="s">
        <v>14</v>
      </c>
      <c r="AX2" s="1" t="s">
        <v>15</v>
      </c>
      <c r="AY2" s="1" t="s">
        <v>16</v>
      </c>
      <c r="AZ2" s="1"/>
      <c r="BA2" s="1"/>
      <c r="BB2" s="1"/>
      <c r="BC2" s="1"/>
      <c r="BD2" s="1"/>
      <c r="BE2" s="1"/>
    </row>
    <row r="3" spans="1:73" ht="19.5" customHeight="1">
      <c r="A3" s="5"/>
      <c r="B3" s="164" t="str">
        <f>+A4</f>
        <v>セントラルパークスA</v>
      </c>
      <c r="C3" s="164"/>
      <c r="D3" s="164"/>
      <c r="E3" s="164"/>
      <c r="F3" s="164" t="str">
        <f>+A5</f>
        <v>五香メッツ</v>
      </c>
      <c r="G3" s="164"/>
      <c r="H3" s="164"/>
      <c r="I3" s="164"/>
      <c r="J3" s="164" t="str">
        <f>+A6</f>
        <v>双葉</v>
      </c>
      <c r="K3" s="164"/>
      <c r="L3" s="164"/>
      <c r="M3" s="164"/>
      <c r="N3" s="164" t="str">
        <f>+A7</f>
        <v>小金原ビクトリー</v>
      </c>
      <c r="O3" s="164"/>
      <c r="P3" s="164"/>
      <c r="Q3" s="164"/>
      <c r="R3" s="164" t="str">
        <f>+A8</f>
        <v>増尾レッドスターズ</v>
      </c>
      <c r="S3" s="164"/>
      <c r="T3" s="164"/>
      <c r="U3" s="164"/>
      <c r="V3" s="164" t="str">
        <f>+A9</f>
        <v>前崎クラブ</v>
      </c>
      <c r="W3" s="164"/>
      <c r="X3" s="164"/>
      <c r="Y3" s="164"/>
      <c r="Z3" s="164"/>
      <c r="AA3" s="164"/>
      <c r="AB3" s="164"/>
      <c r="AC3" s="164"/>
      <c r="AD3" s="164"/>
      <c r="AE3" s="164"/>
      <c r="AF3" s="164"/>
      <c r="AG3" s="164"/>
      <c r="AH3" s="164"/>
      <c r="AI3" s="164"/>
      <c r="AJ3" s="164"/>
      <c r="AK3" s="164"/>
      <c r="AL3" s="164"/>
      <c r="AM3" s="164"/>
      <c r="AN3" s="164"/>
      <c r="AO3" s="164"/>
      <c r="AP3" s="164"/>
      <c r="AQ3" s="164"/>
      <c r="AR3" s="164"/>
      <c r="AS3" s="164"/>
      <c r="AT3" s="25" t="s">
        <v>4</v>
      </c>
      <c r="AU3" s="25" t="s">
        <v>5</v>
      </c>
      <c r="AV3" s="25" t="s">
        <v>6</v>
      </c>
      <c r="AW3" s="26" t="s">
        <v>11</v>
      </c>
      <c r="AX3" s="27" t="s">
        <v>12</v>
      </c>
      <c r="AY3" s="28" t="s">
        <v>13</v>
      </c>
      <c r="AZ3" s="29" t="s">
        <v>7</v>
      </c>
      <c r="BA3" s="25" t="s">
        <v>8</v>
      </c>
      <c r="BB3" s="25" t="s">
        <v>9</v>
      </c>
      <c r="BC3" s="25" t="s">
        <v>10</v>
      </c>
      <c r="BF3" s="41"/>
      <c r="BG3" s="41" t="s">
        <v>17</v>
      </c>
      <c r="BH3" s="41" t="s">
        <v>18</v>
      </c>
      <c r="BI3" s="3" t="s">
        <v>32</v>
      </c>
      <c r="BJ3" s="3" t="s">
        <v>33</v>
      </c>
      <c r="BK3" s="41"/>
      <c r="BL3" s="41"/>
      <c r="BT3" s="3" t="s">
        <v>17</v>
      </c>
      <c r="BU3" s="3" t="s">
        <v>19</v>
      </c>
    </row>
    <row r="4" spans="1:76" ht="19.5" customHeight="1">
      <c r="A4" s="79" t="s">
        <v>99</v>
      </c>
      <c r="B4" s="36"/>
      <c r="C4" s="37"/>
      <c r="D4" s="37"/>
      <c r="E4" s="38"/>
      <c r="F4" s="36"/>
      <c r="G4" s="37">
        <f>IF(E5="","",E5)</f>
        <v>0</v>
      </c>
      <c r="H4" s="37"/>
      <c r="I4" s="38">
        <f>IF(C5="","",C5)</f>
        <v>15</v>
      </c>
      <c r="J4" s="36"/>
      <c r="K4" s="37">
        <f>IF(E6="","",E6)</f>
        <v>0</v>
      </c>
      <c r="L4" s="37"/>
      <c r="M4" s="38">
        <f>IF(C6="","",C6)</f>
        <v>15</v>
      </c>
      <c r="N4" s="36"/>
      <c r="O4" s="37">
        <f>IF(E7="","",E7)</f>
        <v>0</v>
      </c>
      <c r="P4" s="37"/>
      <c r="Q4" s="38">
        <f>IF(C7="","",C7)</f>
        <v>15</v>
      </c>
      <c r="R4" s="36"/>
      <c r="S4" s="37">
        <f>IF(E8="","",E8)</f>
        <v>0</v>
      </c>
      <c r="T4" s="37"/>
      <c r="U4" s="38">
        <f>IF(C8="","",C8)</f>
        <v>15</v>
      </c>
      <c r="V4" s="36"/>
      <c r="W4" s="37">
        <f>IF(E9="","",E9)</f>
        <v>0</v>
      </c>
      <c r="X4" s="37"/>
      <c r="Y4" s="38">
        <f>IF(C9="","",C9)</f>
        <v>15</v>
      </c>
      <c r="Z4" s="36"/>
      <c r="AA4" s="37">
        <f>IF(E10="","",E10)</f>
      </c>
      <c r="AB4" s="37"/>
      <c r="AC4" s="38">
        <f>IF(C10="","",C10)</f>
      </c>
      <c r="AD4" s="36"/>
      <c r="AE4" s="37">
        <f>IF(E11="","",E11)</f>
      </c>
      <c r="AF4" s="37"/>
      <c r="AG4" s="38">
        <f>IF(C11="","",C11)</f>
      </c>
      <c r="AH4" s="36"/>
      <c r="AI4" s="37">
        <f>IF(E12="","",E12)</f>
      </c>
      <c r="AJ4" s="37"/>
      <c r="AK4" s="38">
        <f>IF(C12="","",C12)</f>
      </c>
      <c r="AL4" s="36"/>
      <c r="AM4" s="37"/>
      <c r="AN4" s="37"/>
      <c r="AO4" s="38"/>
      <c r="AP4" s="36"/>
      <c r="AQ4" s="37"/>
      <c r="AR4" s="37"/>
      <c r="AS4" s="38"/>
      <c r="AT4" s="40">
        <f aca="true" t="shared" si="0" ref="AT4:AT11">IF(C4&gt;E4,1,0)+IF(G4&gt;I4,1,0)+IF(K4&gt;M4,1,0)+IF(O4&gt;Q4,1,0)+IF(S4&gt;U4,1,0)+IF(W4&gt;Y4,1,0)+IF(AA4&gt;AC4,1,0)+IF(AE4&gt;AG4,1,0)+IF(AQ4&gt;AS4,1,0)+IF(AI4&gt;AK4,1,0)</f>
        <v>0</v>
      </c>
      <c r="AU4" s="30">
        <f aca="true" t="shared" si="1" ref="AU4:AU11">IF(C4&lt;E4,1,0)+IF(G4&lt;I4,1,0)+IF(K4&lt;M4,1,0)+IF(O4&lt;Q4,1,0)+IF(S4&lt;U4,1,0)+IF(W4&lt;Y4,1,0)+IF(AA4&lt;AC4,1,0)+IF(AE4&lt;AG4,1,0)+IF(AQ4&lt;AS4,1,0)+IF(AI4&lt;AK4,1,0)</f>
        <v>5</v>
      </c>
      <c r="AV4" s="30">
        <f aca="true" t="shared" si="2" ref="AV4:AV11">IF(AND(ISNUMBER(C4),C4=E4),1,0)+IF(AND(ISNUMBER(G4),G4=I4),1,0)+IF(AND(ISNUMBER(K4),K4=M4),1,)+IF(AND(ISNUMBER(O4),O4=Q4),1,0)+IF(AND(ISNUMBER(S4),S4=U4),1,0)+IF(AND(ISNUMBER(W4),W4=Y4),1,0)+IF(AND(ISNUMBER(AA4),AA4=AC4),1,0)+IF(AND(ISNUMBER(AE4),AE4=AG4),1,0)+IF(AND(ISNUMBER(AQ4),AQ4=AS4),1,0)+IF(AND(ISNUMBER(AI4),AI4=AK4),1,0)</f>
        <v>0</v>
      </c>
      <c r="AW4" s="31">
        <f aca="true" t="shared" si="3" ref="AW4:AW10">AT4*2</f>
        <v>0</v>
      </c>
      <c r="AX4" s="32">
        <f aca="true" t="shared" si="4" ref="AX4:AX10">AU4*0</f>
        <v>0</v>
      </c>
      <c r="AY4" s="33">
        <f aca="true" t="shared" si="5" ref="AY4:AY10">AV4*1</f>
        <v>0</v>
      </c>
      <c r="AZ4" s="34">
        <f aca="true" t="shared" si="6" ref="AZ4:AZ10">AW4+AX4+AY4</f>
        <v>0</v>
      </c>
      <c r="BA4" s="30">
        <f aca="true" t="shared" si="7" ref="BA4:BA10">IF(ISNUMBER(G4),G4,0)+IF(ISNUMBER(K4),K4,0)+IF(ISNUMBER(O4),O4,0)+IF(ISNUMBER(AA4),AA4,0)+IF(ISNUMBER(AE4),AE4,0)+IF(ISNUMBER(AM4),AM4,0)+IF(ISNUMBER(S4),S4,0)+IF(ISNUMBER(W4),W4,0)+IF(ISNUMBER(C4),C4,0)+IF(ISNUMBER(AQ4),AQ4,0)+IF(ISNUMBER(AI4),AI4,0)</f>
        <v>0</v>
      </c>
      <c r="BB4" s="30">
        <f aca="true" t="shared" si="8" ref="BB4:BB10">IF(ISNUMBER(I4),I4,0)+IF(ISNUMBER(M4),M4,0)+IF(ISNUMBER(Q4),Q4,0)+IF(ISNUMBER(AC4),AC4,0)+IF(ISNUMBER(AG4),AG4,0)+IF(ISNUMBER(AO4),AO4,0)+IF(ISNUMBER(U4),U4,0)+IF(ISNUMBER(Y4),Y4,0)+IF(ISNUMBER(E4),E4,0)+IF(ISNUMBER(AS4),AS4,0)+IF(ISNUMBER(AK4),AK4,0)</f>
        <v>75</v>
      </c>
      <c r="BC4" s="30">
        <f aca="true" t="shared" si="9" ref="BC4:BC10">BA4-BB4</f>
        <v>-75</v>
      </c>
      <c r="BF4" s="42">
        <f>BK4+COUNTIF(BK$3:BK3,BK4)</f>
        <v>6</v>
      </c>
      <c r="BG4" s="44" t="str">
        <f aca="true" t="shared" si="10" ref="BG4:BG9">+A4</f>
        <v>セントラルパークスA</v>
      </c>
      <c r="BH4" s="42">
        <f aca="true" t="shared" si="11" ref="BH4:BH9">+AZ4</f>
        <v>0</v>
      </c>
      <c r="BI4" s="42">
        <f aca="true" t="shared" si="12" ref="BI4:BI9">+AT4</f>
        <v>0</v>
      </c>
      <c r="BJ4" s="42">
        <f aca="true" t="shared" si="13" ref="BJ4:BJ9">+AT4+AU4+AV4</f>
        <v>5</v>
      </c>
      <c r="BK4" s="42">
        <f aca="true" t="shared" si="14" ref="BK4:BK9">RANK(BH4,BH$4:BH$9)</f>
        <v>6</v>
      </c>
      <c r="BL4" s="43">
        <f aca="true" t="shared" si="15" ref="BL4:BL9">VLOOKUP(ROW(BF1),$BF$4:$BK$9,6,FALSE)</f>
        <v>1</v>
      </c>
      <c r="BM4" s="45" t="str">
        <f aca="true" t="shared" si="16" ref="BM4:BM9">VLOOKUP(ROW(BF1),$BF$4:$BK$9,2,FALSE)</f>
        <v>増尾レッドスターズ</v>
      </c>
      <c r="BN4" s="45">
        <f aca="true" t="shared" si="17" ref="BN4:BN9">VLOOKUP(ROW(BF1),$BF$4:$BK$9,3,FALSE)</f>
        <v>10</v>
      </c>
      <c r="BO4" s="45">
        <f aca="true" t="shared" si="18" ref="BO4:BO9">VLOOKUP(ROW(BF1),$BF$4:$BK$9,4,FALSE)</f>
        <v>5</v>
      </c>
      <c r="BP4" s="45">
        <f aca="true" t="shared" si="19" ref="BP4:BP9">VLOOKUP(ROW(BF1),$BF$4:$BK$9,5,FALSE)</f>
        <v>5</v>
      </c>
      <c r="BQ4" s="55"/>
      <c r="BS4" s="42">
        <f>BV4+COUNTIF(BV$3:BV3,BV4)</f>
        <v>1</v>
      </c>
      <c r="BT4" s="44" t="str">
        <f aca="true" t="shared" si="20" ref="BT4:BT9">+BG4</f>
        <v>セントラルパークスA</v>
      </c>
      <c r="BU4" s="42">
        <f>COUNT(B4:Y4)/2</f>
        <v>5</v>
      </c>
      <c r="BV4" s="42">
        <f aca="true" t="shared" si="21" ref="BV4:BV9">RANK(BU4,BU$4:BU$9)</f>
        <v>1</v>
      </c>
      <c r="BW4" s="43">
        <f aca="true" t="shared" si="22" ref="BW4:BW9">VLOOKUP(ROW(BS1),$BS$4:$BV$9,4,FALSE)</f>
        <v>1</v>
      </c>
      <c r="BX4" s="45" t="str">
        <f aca="true" t="shared" si="23" ref="BX4:BX9">VLOOKUP(ROW(BT1),$BS$4:$BV$9,2,FALSE)</f>
        <v>セントラルパークスA</v>
      </c>
    </row>
    <row r="5" spans="1:76" ht="19.5" customHeight="1">
      <c r="A5" s="79" t="s">
        <v>75</v>
      </c>
      <c r="B5" s="37"/>
      <c r="C5" s="37">
        <v>15</v>
      </c>
      <c r="D5" s="37"/>
      <c r="E5" s="38">
        <v>0</v>
      </c>
      <c r="F5" s="36"/>
      <c r="G5" s="37"/>
      <c r="H5" s="37"/>
      <c r="I5" s="38"/>
      <c r="J5" s="36"/>
      <c r="K5" s="37">
        <f>IF(I6="","",I6)</f>
      </c>
      <c r="L5" s="37"/>
      <c r="M5" s="38">
        <f>IF(G6="","",G6)</f>
      </c>
      <c r="N5" s="36"/>
      <c r="O5" s="37">
        <f>IF(I7="","",I7)</f>
        <v>0</v>
      </c>
      <c r="P5" s="37"/>
      <c r="Q5" s="38">
        <f>IF(G7="","",G7)</f>
        <v>16</v>
      </c>
      <c r="R5" s="36"/>
      <c r="S5" s="37">
        <f>IF(I8="","",I8)</f>
        <v>3</v>
      </c>
      <c r="T5" s="37"/>
      <c r="U5" s="38">
        <f>IF(G8="","",G8)</f>
        <v>17</v>
      </c>
      <c r="V5" s="36"/>
      <c r="W5" s="37">
        <f>IF(I9="","",I9)</f>
        <v>5</v>
      </c>
      <c r="X5" s="37"/>
      <c r="Y5" s="38">
        <f>IF(G9="","",G9)</f>
        <v>6</v>
      </c>
      <c r="Z5" s="36"/>
      <c r="AA5" s="37">
        <f>IF(I10="","",I10)</f>
      </c>
      <c r="AB5" s="37"/>
      <c r="AC5" s="38">
        <f>IF(G10="","",G10)</f>
      </c>
      <c r="AD5" s="36"/>
      <c r="AE5" s="37">
        <f>IF(I11="","",I11)</f>
      </c>
      <c r="AF5" s="37"/>
      <c r="AG5" s="38">
        <f>IF(G11="","",G11)</f>
      </c>
      <c r="AH5" s="36"/>
      <c r="AI5" s="37">
        <f>IF(I12="","",I12)</f>
      </c>
      <c r="AJ5" s="37"/>
      <c r="AK5" s="38">
        <f>IF(G12="","",G12)</f>
      </c>
      <c r="AL5" s="36"/>
      <c r="AM5" s="37"/>
      <c r="AN5" s="37"/>
      <c r="AO5" s="38"/>
      <c r="AP5" s="36"/>
      <c r="AQ5" s="37"/>
      <c r="AR5" s="37"/>
      <c r="AS5" s="38"/>
      <c r="AT5" s="40">
        <f t="shared" si="0"/>
        <v>1</v>
      </c>
      <c r="AU5" s="30">
        <f t="shared" si="1"/>
        <v>3</v>
      </c>
      <c r="AV5" s="30">
        <f t="shared" si="2"/>
        <v>0</v>
      </c>
      <c r="AW5" s="31">
        <f t="shared" si="3"/>
        <v>2</v>
      </c>
      <c r="AX5" s="32">
        <f t="shared" si="4"/>
        <v>0</v>
      </c>
      <c r="AY5" s="33">
        <f t="shared" si="5"/>
        <v>0</v>
      </c>
      <c r="AZ5" s="34">
        <f t="shared" si="6"/>
        <v>2</v>
      </c>
      <c r="BA5" s="30">
        <f t="shared" si="7"/>
        <v>23</v>
      </c>
      <c r="BB5" s="30">
        <f t="shared" si="8"/>
        <v>39</v>
      </c>
      <c r="BC5" s="30">
        <f t="shared" si="9"/>
        <v>-16</v>
      </c>
      <c r="BF5" s="42">
        <f>BK5+COUNTIF(BK$3:BK4,BK5)</f>
        <v>4</v>
      </c>
      <c r="BG5" s="44" t="str">
        <f t="shared" si="10"/>
        <v>五香メッツ</v>
      </c>
      <c r="BH5" s="42">
        <f t="shared" si="11"/>
        <v>2</v>
      </c>
      <c r="BI5" s="42">
        <f t="shared" si="12"/>
        <v>1</v>
      </c>
      <c r="BJ5" s="42">
        <f t="shared" si="13"/>
        <v>4</v>
      </c>
      <c r="BK5" s="42">
        <f t="shared" si="14"/>
        <v>4</v>
      </c>
      <c r="BL5" s="43">
        <f t="shared" si="15"/>
        <v>2</v>
      </c>
      <c r="BM5" s="45" t="str">
        <f t="shared" si="16"/>
        <v>前崎クラブ</v>
      </c>
      <c r="BN5" s="45">
        <f t="shared" si="17"/>
        <v>8</v>
      </c>
      <c r="BO5" s="45">
        <f t="shared" si="18"/>
        <v>4</v>
      </c>
      <c r="BP5" s="45">
        <f t="shared" si="19"/>
        <v>5</v>
      </c>
      <c r="BQ5" s="55"/>
      <c r="BS5" s="42">
        <f>BV5+COUNTIF(BV$3:BV4,BV5)</f>
        <v>4</v>
      </c>
      <c r="BT5" s="44" t="str">
        <f t="shared" si="20"/>
        <v>五香メッツ</v>
      </c>
      <c r="BU5" s="42">
        <f>COUNT(B5:Y5)/2</f>
        <v>4</v>
      </c>
      <c r="BV5" s="42">
        <f t="shared" si="21"/>
        <v>4</v>
      </c>
      <c r="BW5" s="43">
        <f t="shared" si="22"/>
        <v>1</v>
      </c>
      <c r="BX5" s="45" t="str">
        <f t="shared" si="23"/>
        <v>小金原ビクトリー</v>
      </c>
    </row>
    <row r="6" spans="1:76" ht="19.5" customHeight="1">
      <c r="A6" s="79" t="s">
        <v>90</v>
      </c>
      <c r="B6" s="36"/>
      <c r="C6" s="37">
        <v>15</v>
      </c>
      <c r="D6" s="37"/>
      <c r="E6" s="38">
        <v>0</v>
      </c>
      <c r="F6" s="36"/>
      <c r="G6" s="37"/>
      <c r="H6" s="37"/>
      <c r="I6" s="38"/>
      <c r="J6" s="36"/>
      <c r="K6" s="37"/>
      <c r="L6" s="37"/>
      <c r="M6" s="38"/>
      <c r="N6" s="36"/>
      <c r="O6" s="37">
        <f>IF(M7="","",M7)</f>
        <v>2</v>
      </c>
      <c r="P6" s="37"/>
      <c r="Q6" s="38">
        <f>IF(K7="","",K7)</f>
        <v>10</v>
      </c>
      <c r="R6" s="36"/>
      <c r="S6" s="37">
        <f>IF(M8="","",M8)</f>
        <v>3</v>
      </c>
      <c r="T6" s="37"/>
      <c r="U6" s="38">
        <f>IF(K8="","",K8)</f>
        <v>11</v>
      </c>
      <c r="V6" s="36"/>
      <c r="W6" s="37">
        <f>IF(M9="","",M9)</f>
        <v>3</v>
      </c>
      <c r="X6" s="37"/>
      <c r="Y6" s="38">
        <f>IF(K9="","",K9)</f>
        <v>9</v>
      </c>
      <c r="Z6" s="36"/>
      <c r="AA6" s="37">
        <f>IF(M10="","",M10)</f>
      </c>
      <c r="AB6" s="37"/>
      <c r="AC6" s="38">
        <f>IF(K10="","",K10)</f>
      </c>
      <c r="AD6" s="36"/>
      <c r="AE6" s="37">
        <f>IF(M11="","",M11)</f>
      </c>
      <c r="AF6" s="37"/>
      <c r="AG6" s="38">
        <f>IF(K11="","",K11)</f>
      </c>
      <c r="AH6" s="36"/>
      <c r="AI6" s="37">
        <f>IF(M12="","",M12)</f>
      </c>
      <c r="AJ6" s="37"/>
      <c r="AK6" s="38">
        <f>IF(K12="","",K12)</f>
      </c>
      <c r="AL6" s="36"/>
      <c r="AM6" s="37"/>
      <c r="AN6" s="37"/>
      <c r="AO6" s="38"/>
      <c r="AP6" s="36"/>
      <c r="AQ6" s="37"/>
      <c r="AR6" s="37"/>
      <c r="AS6" s="38"/>
      <c r="AT6" s="40">
        <f t="shared" si="0"/>
        <v>1</v>
      </c>
      <c r="AU6" s="30">
        <f t="shared" si="1"/>
        <v>3</v>
      </c>
      <c r="AV6" s="30">
        <f t="shared" si="2"/>
        <v>0</v>
      </c>
      <c r="AW6" s="31">
        <f t="shared" si="3"/>
        <v>2</v>
      </c>
      <c r="AX6" s="32">
        <f t="shared" si="4"/>
        <v>0</v>
      </c>
      <c r="AY6" s="33">
        <f t="shared" si="5"/>
        <v>0</v>
      </c>
      <c r="AZ6" s="34">
        <f t="shared" si="6"/>
        <v>2</v>
      </c>
      <c r="BA6" s="30">
        <f t="shared" si="7"/>
        <v>23</v>
      </c>
      <c r="BB6" s="30">
        <f t="shared" si="8"/>
        <v>30</v>
      </c>
      <c r="BC6" s="30">
        <f t="shared" si="9"/>
        <v>-7</v>
      </c>
      <c r="BF6" s="42">
        <f>BK6+COUNTIF(BK$3:BK5,BK6)</f>
        <v>5</v>
      </c>
      <c r="BG6" s="44" t="str">
        <f t="shared" si="10"/>
        <v>双葉</v>
      </c>
      <c r="BH6" s="42">
        <f t="shared" si="11"/>
        <v>2</v>
      </c>
      <c r="BI6" s="42">
        <f t="shared" si="12"/>
        <v>1</v>
      </c>
      <c r="BJ6" s="42">
        <f t="shared" si="13"/>
        <v>4</v>
      </c>
      <c r="BK6" s="42">
        <f t="shared" si="14"/>
        <v>4</v>
      </c>
      <c r="BL6" s="43">
        <f t="shared" si="15"/>
        <v>3</v>
      </c>
      <c r="BM6" s="45" t="str">
        <f t="shared" si="16"/>
        <v>小金原ビクトリー</v>
      </c>
      <c r="BN6" s="45">
        <f t="shared" si="17"/>
        <v>6</v>
      </c>
      <c r="BO6" s="45">
        <f t="shared" si="18"/>
        <v>3</v>
      </c>
      <c r="BP6" s="45">
        <f t="shared" si="19"/>
        <v>5</v>
      </c>
      <c r="BQ6" s="55"/>
      <c r="BS6" s="42">
        <f>BV6+COUNTIF(BV$3:BV5,BV6)</f>
        <v>5</v>
      </c>
      <c r="BT6" s="44" t="str">
        <f t="shared" si="20"/>
        <v>双葉</v>
      </c>
      <c r="BU6" s="42">
        <f>COUNT(B6:Y6)/2</f>
        <v>4</v>
      </c>
      <c r="BV6" s="42">
        <f t="shared" si="21"/>
        <v>4</v>
      </c>
      <c r="BW6" s="43">
        <f t="shared" si="22"/>
        <v>1</v>
      </c>
      <c r="BX6" s="45" t="str">
        <f t="shared" si="23"/>
        <v>増尾レッドスターズ</v>
      </c>
    </row>
    <row r="7" spans="1:76" ht="19.5" customHeight="1">
      <c r="A7" s="79" t="s">
        <v>63</v>
      </c>
      <c r="B7" s="36"/>
      <c r="C7" s="37">
        <v>15</v>
      </c>
      <c r="D7" s="37"/>
      <c r="E7" s="38">
        <v>0</v>
      </c>
      <c r="F7" s="36"/>
      <c r="G7" s="37">
        <v>16</v>
      </c>
      <c r="H7" s="37"/>
      <c r="I7" s="38">
        <v>0</v>
      </c>
      <c r="J7" s="36"/>
      <c r="K7" s="37">
        <v>10</v>
      </c>
      <c r="L7" s="37"/>
      <c r="M7" s="38">
        <v>2</v>
      </c>
      <c r="N7" s="36"/>
      <c r="O7" s="37"/>
      <c r="P7" s="37"/>
      <c r="Q7" s="38"/>
      <c r="R7" s="36"/>
      <c r="S7" s="37">
        <f>IF(Q8="","",Q8)</f>
        <v>10</v>
      </c>
      <c r="T7" s="37"/>
      <c r="U7" s="38">
        <f>IF(O8="","",O8)</f>
        <v>11</v>
      </c>
      <c r="V7" s="36"/>
      <c r="W7" s="37">
        <f>IF(Q9="","",Q9)</f>
        <v>4</v>
      </c>
      <c r="X7" s="37"/>
      <c r="Y7" s="38">
        <f>IF(O9="","",O9)</f>
        <v>7</v>
      </c>
      <c r="Z7" s="36"/>
      <c r="AA7" s="37">
        <f>IF(Q10="","",Q10)</f>
      </c>
      <c r="AB7" s="37"/>
      <c r="AC7" s="38">
        <f>IF(O10="","",O10)</f>
      </c>
      <c r="AD7" s="36"/>
      <c r="AE7" s="37">
        <f>IF(Q11="","",Q11)</f>
      </c>
      <c r="AF7" s="37"/>
      <c r="AG7" s="38">
        <f>IF(O11="","",O11)</f>
      </c>
      <c r="AH7" s="36"/>
      <c r="AI7" s="37">
        <f>IF(Q12="","",Q12)</f>
      </c>
      <c r="AJ7" s="37"/>
      <c r="AK7" s="38">
        <f>IF(O12="","",O12)</f>
      </c>
      <c r="AL7" s="36"/>
      <c r="AM7" s="37"/>
      <c r="AN7" s="37"/>
      <c r="AO7" s="38"/>
      <c r="AP7" s="36"/>
      <c r="AQ7" s="37"/>
      <c r="AR7" s="37"/>
      <c r="AS7" s="38"/>
      <c r="AT7" s="40">
        <f t="shared" si="0"/>
        <v>3</v>
      </c>
      <c r="AU7" s="30">
        <f t="shared" si="1"/>
        <v>2</v>
      </c>
      <c r="AV7" s="30">
        <f t="shared" si="2"/>
        <v>0</v>
      </c>
      <c r="AW7" s="31">
        <f t="shared" si="3"/>
        <v>6</v>
      </c>
      <c r="AX7" s="32">
        <f t="shared" si="4"/>
        <v>0</v>
      </c>
      <c r="AY7" s="33">
        <f t="shared" si="5"/>
        <v>0</v>
      </c>
      <c r="AZ7" s="34">
        <f t="shared" si="6"/>
        <v>6</v>
      </c>
      <c r="BA7" s="30">
        <f t="shared" si="7"/>
        <v>55</v>
      </c>
      <c r="BB7" s="30">
        <f t="shared" si="8"/>
        <v>20</v>
      </c>
      <c r="BC7" s="30">
        <f t="shared" si="9"/>
        <v>35</v>
      </c>
      <c r="BF7" s="42">
        <f>BK7+COUNTIF(BK$3:BK6,BK7)</f>
        <v>3</v>
      </c>
      <c r="BG7" s="44" t="str">
        <f t="shared" si="10"/>
        <v>小金原ビクトリー</v>
      </c>
      <c r="BH7" s="42">
        <f t="shared" si="11"/>
        <v>6</v>
      </c>
      <c r="BI7" s="42">
        <f t="shared" si="12"/>
        <v>3</v>
      </c>
      <c r="BJ7" s="42">
        <f t="shared" si="13"/>
        <v>5</v>
      </c>
      <c r="BK7" s="42">
        <f t="shared" si="14"/>
        <v>3</v>
      </c>
      <c r="BL7" s="43">
        <f t="shared" si="15"/>
        <v>4</v>
      </c>
      <c r="BM7" s="45" t="str">
        <f t="shared" si="16"/>
        <v>五香メッツ</v>
      </c>
      <c r="BN7" s="45">
        <f t="shared" si="17"/>
        <v>2</v>
      </c>
      <c r="BO7" s="45">
        <f t="shared" si="18"/>
        <v>1</v>
      </c>
      <c r="BP7" s="45">
        <f t="shared" si="19"/>
        <v>4</v>
      </c>
      <c r="BQ7" s="55"/>
      <c r="BS7" s="42">
        <f>BV7+COUNTIF(BV$3:BV6,BV7)</f>
        <v>2</v>
      </c>
      <c r="BT7" s="44" t="str">
        <f t="shared" si="20"/>
        <v>小金原ビクトリー</v>
      </c>
      <c r="BU7" s="42">
        <f>COUNT(B7:Y7)/2</f>
        <v>5</v>
      </c>
      <c r="BV7" s="42">
        <f t="shared" si="21"/>
        <v>1</v>
      </c>
      <c r="BW7" s="43">
        <f t="shared" si="22"/>
        <v>4</v>
      </c>
      <c r="BX7" s="45" t="str">
        <f t="shared" si="23"/>
        <v>五香メッツ</v>
      </c>
    </row>
    <row r="8" spans="1:76" ht="19.5" customHeight="1">
      <c r="A8" s="79" t="s">
        <v>94</v>
      </c>
      <c r="B8" s="36"/>
      <c r="C8" s="37">
        <v>15</v>
      </c>
      <c r="D8" s="37"/>
      <c r="E8" s="38">
        <v>0</v>
      </c>
      <c r="F8" s="36"/>
      <c r="G8" s="37">
        <v>17</v>
      </c>
      <c r="H8" s="37"/>
      <c r="I8" s="38">
        <v>3</v>
      </c>
      <c r="J8" s="36"/>
      <c r="K8" s="37">
        <v>11</v>
      </c>
      <c r="L8" s="37"/>
      <c r="M8" s="38">
        <v>3</v>
      </c>
      <c r="N8" s="36"/>
      <c r="O8" s="37">
        <v>11</v>
      </c>
      <c r="P8" s="37"/>
      <c r="Q8" s="38">
        <v>10</v>
      </c>
      <c r="R8" s="36"/>
      <c r="S8" s="37"/>
      <c r="T8" s="37"/>
      <c r="U8" s="38"/>
      <c r="V8" s="36"/>
      <c r="W8" s="37">
        <f>IF(U9="","",U9)</f>
        <v>6</v>
      </c>
      <c r="X8" s="37"/>
      <c r="Y8" s="38">
        <f>IF(S9="","",S9)</f>
        <v>5</v>
      </c>
      <c r="Z8" s="36"/>
      <c r="AA8" s="37">
        <f>IF(U10="","",U10)</f>
      </c>
      <c r="AB8" s="37"/>
      <c r="AC8" s="38">
        <f>IF(S10="","",S10)</f>
      </c>
      <c r="AD8" s="36"/>
      <c r="AE8" s="37">
        <f>IF(U11="","",U11)</f>
      </c>
      <c r="AF8" s="37"/>
      <c r="AG8" s="38">
        <f>IF(S11="","",S11)</f>
      </c>
      <c r="AH8" s="36"/>
      <c r="AI8" s="37">
        <f>IF(U12="","",U12)</f>
      </c>
      <c r="AJ8" s="37"/>
      <c r="AK8" s="38">
        <f>IF(S12="","",S12)</f>
      </c>
      <c r="AL8" s="36"/>
      <c r="AM8" s="37"/>
      <c r="AN8" s="37"/>
      <c r="AO8" s="38"/>
      <c r="AP8" s="36"/>
      <c r="AQ8" s="37"/>
      <c r="AR8" s="37"/>
      <c r="AS8" s="38"/>
      <c r="AT8" s="40">
        <f t="shared" si="0"/>
        <v>5</v>
      </c>
      <c r="AU8" s="30">
        <f t="shared" si="1"/>
        <v>0</v>
      </c>
      <c r="AV8" s="30">
        <f t="shared" si="2"/>
        <v>0</v>
      </c>
      <c r="AW8" s="31">
        <f t="shared" si="3"/>
        <v>10</v>
      </c>
      <c r="AX8" s="32">
        <f t="shared" si="4"/>
        <v>0</v>
      </c>
      <c r="AY8" s="33">
        <f t="shared" si="5"/>
        <v>0</v>
      </c>
      <c r="AZ8" s="34">
        <f t="shared" si="6"/>
        <v>10</v>
      </c>
      <c r="BA8" s="30">
        <f t="shared" si="7"/>
        <v>60</v>
      </c>
      <c r="BB8" s="30">
        <f t="shared" si="8"/>
        <v>21</v>
      </c>
      <c r="BC8" s="30">
        <f t="shared" si="9"/>
        <v>39</v>
      </c>
      <c r="BF8" s="42">
        <f>BK8+COUNTIF(BK$3:BK7,BK8)</f>
        <v>1</v>
      </c>
      <c r="BG8" s="44" t="str">
        <f t="shared" si="10"/>
        <v>増尾レッドスターズ</v>
      </c>
      <c r="BH8" s="42">
        <f t="shared" si="11"/>
        <v>10</v>
      </c>
      <c r="BI8" s="42">
        <f t="shared" si="12"/>
        <v>5</v>
      </c>
      <c r="BJ8" s="42">
        <f t="shared" si="13"/>
        <v>5</v>
      </c>
      <c r="BK8" s="42">
        <f t="shared" si="14"/>
        <v>1</v>
      </c>
      <c r="BL8" s="43">
        <f t="shared" si="15"/>
        <v>4</v>
      </c>
      <c r="BM8" s="45" t="str">
        <f t="shared" si="16"/>
        <v>双葉</v>
      </c>
      <c r="BN8" s="45">
        <f t="shared" si="17"/>
        <v>2</v>
      </c>
      <c r="BO8" s="45">
        <f t="shared" si="18"/>
        <v>1</v>
      </c>
      <c r="BP8" s="45">
        <f t="shared" si="19"/>
        <v>4</v>
      </c>
      <c r="BQ8" s="55"/>
      <c r="BS8" s="42">
        <f>BV8+COUNTIF(BV$3:BV7,BV8)</f>
        <v>3</v>
      </c>
      <c r="BT8" s="44" t="str">
        <f t="shared" si="20"/>
        <v>増尾レッドスターズ</v>
      </c>
      <c r="BU8" s="42">
        <f>COUNT(B8:Y8)/2</f>
        <v>5</v>
      </c>
      <c r="BV8" s="42">
        <f t="shared" si="21"/>
        <v>1</v>
      </c>
      <c r="BW8" s="43">
        <f t="shared" si="22"/>
        <v>4</v>
      </c>
      <c r="BX8" s="45" t="str">
        <f t="shared" si="23"/>
        <v>双葉</v>
      </c>
    </row>
    <row r="9" spans="1:76" ht="19.5" customHeight="1">
      <c r="A9" s="79" t="s">
        <v>77</v>
      </c>
      <c r="B9" s="36"/>
      <c r="C9" s="37">
        <v>15</v>
      </c>
      <c r="D9" s="37"/>
      <c r="E9" s="38">
        <v>0</v>
      </c>
      <c r="F9" s="36"/>
      <c r="G9" s="37">
        <v>6</v>
      </c>
      <c r="H9" s="37"/>
      <c r="I9" s="38">
        <v>5</v>
      </c>
      <c r="J9" s="36"/>
      <c r="K9" s="37">
        <v>9</v>
      </c>
      <c r="L9" s="37"/>
      <c r="M9" s="38">
        <v>3</v>
      </c>
      <c r="N9" s="36"/>
      <c r="O9" s="37">
        <v>7</v>
      </c>
      <c r="P9" s="37"/>
      <c r="Q9" s="38">
        <v>4</v>
      </c>
      <c r="R9" s="36"/>
      <c r="S9" s="37">
        <v>5</v>
      </c>
      <c r="T9" s="37"/>
      <c r="U9" s="38">
        <v>6</v>
      </c>
      <c r="V9" s="36"/>
      <c r="W9" s="37"/>
      <c r="X9" s="37"/>
      <c r="Y9" s="38"/>
      <c r="Z9" s="36"/>
      <c r="AA9" s="37">
        <f>IF(Y10="","",Y10)</f>
      </c>
      <c r="AB9" s="37"/>
      <c r="AC9" s="38">
        <f>IF(W10="","",W10)</f>
      </c>
      <c r="AD9" s="36"/>
      <c r="AE9" s="37">
        <f>IF(Y11="","",Y11)</f>
      </c>
      <c r="AF9" s="37"/>
      <c r="AG9" s="38">
        <f>IF(W11="","",W11)</f>
      </c>
      <c r="AH9" s="36"/>
      <c r="AI9" s="37"/>
      <c r="AJ9" s="37"/>
      <c r="AK9" s="38"/>
      <c r="AL9" s="36"/>
      <c r="AM9" s="37"/>
      <c r="AN9" s="37"/>
      <c r="AO9" s="38"/>
      <c r="AP9" s="36"/>
      <c r="AQ9" s="37"/>
      <c r="AR9" s="37"/>
      <c r="AS9" s="38"/>
      <c r="AT9" s="40">
        <f t="shared" si="0"/>
        <v>4</v>
      </c>
      <c r="AU9" s="30">
        <f t="shared" si="1"/>
        <v>1</v>
      </c>
      <c r="AV9" s="30">
        <f t="shared" si="2"/>
        <v>0</v>
      </c>
      <c r="AW9" s="31">
        <f t="shared" si="3"/>
        <v>8</v>
      </c>
      <c r="AX9" s="32">
        <f t="shared" si="4"/>
        <v>0</v>
      </c>
      <c r="AY9" s="33">
        <f t="shared" si="5"/>
        <v>0</v>
      </c>
      <c r="AZ9" s="34">
        <f t="shared" si="6"/>
        <v>8</v>
      </c>
      <c r="BA9" s="30">
        <f>IF(ISNUMBER(G9),G9,0)+IF(ISNUMBER(K9),K9,0)+IF(ISNUMBER(O9),O9,0)+IF(ISNUMBER(AA9),AA9,0)+IF(ISNUMBER(#REF!),#REF!,0)+IF(ISNUMBER(AE9),AE9,0)+IF(ISNUMBER(S9),S9,0)+IF(ISNUMBER(W9),W9,0)+IF(ISNUMBER(C9),C9,0)+IF(ISNUMBER(AQ9),AQ9,0)+IF(ISNUMBER(AI9),AI9,0)</f>
        <v>42</v>
      </c>
      <c r="BB9" s="30">
        <f>IF(ISNUMBER(I9),I9,0)+IF(ISNUMBER(M9),M9,0)+IF(ISNUMBER(Q9),Q9,0)+IF(ISNUMBER(AC9),AC9,0)+IF(ISNUMBER(#REF!),#REF!,0)+IF(ISNUMBER(AG9),AG9,0)+IF(ISNUMBER(U9),U9,0)+IF(ISNUMBER(Y9),Y9,0)+IF(ISNUMBER(E9),E9,0)+IF(ISNUMBER(AS9),AS9,0)+IF(ISNUMBER(AK9),AK9,0)</f>
        <v>18</v>
      </c>
      <c r="BC9" s="30">
        <f t="shared" si="9"/>
        <v>24</v>
      </c>
      <c r="BF9" s="42">
        <f>BK9+COUNTIF(BK$3:BK8,BK9)</f>
        <v>2</v>
      </c>
      <c r="BG9" s="44" t="str">
        <f t="shared" si="10"/>
        <v>前崎クラブ</v>
      </c>
      <c r="BH9" s="42">
        <f t="shared" si="11"/>
        <v>8</v>
      </c>
      <c r="BI9" s="42">
        <f t="shared" si="12"/>
        <v>4</v>
      </c>
      <c r="BJ9" s="42">
        <f t="shared" si="13"/>
        <v>5</v>
      </c>
      <c r="BK9" s="42">
        <f t="shared" si="14"/>
        <v>2</v>
      </c>
      <c r="BL9" s="43">
        <f t="shared" si="15"/>
        <v>6</v>
      </c>
      <c r="BM9" s="45" t="str">
        <f t="shared" si="16"/>
        <v>セントラルパークスA</v>
      </c>
      <c r="BN9" s="45">
        <f t="shared" si="17"/>
        <v>0</v>
      </c>
      <c r="BO9" s="45">
        <f t="shared" si="18"/>
        <v>0</v>
      </c>
      <c r="BP9" s="45">
        <f t="shared" si="19"/>
        <v>5</v>
      </c>
      <c r="BQ9" s="55"/>
      <c r="BS9" s="42" t="e">
        <f>BV9+COUNTIF(BV$3:BV8,BV9)</f>
        <v>#N/A</v>
      </c>
      <c r="BT9" s="44" t="str">
        <f t="shared" si="20"/>
        <v>前崎クラブ</v>
      </c>
      <c r="BU9" s="42"/>
      <c r="BV9" s="42" t="e">
        <f t="shared" si="21"/>
        <v>#N/A</v>
      </c>
      <c r="BW9" s="43" t="e">
        <f t="shared" si="22"/>
        <v>#N/A</v>
      </c>
      <c r="BX9" s="45" t="e">
        <f t="shared" si="23"/>
        <v>#N/A</v>
      </c>
    </row>
    <row r="10" spans="1:76" ht="19.5" customHeight="1">
      <c r="A10" s="79"/>
      <c r="B10" s="36"/>
      <c r="C10" s="37"/>
      <c r="D10" s="37"/>
      <c r="E10" s="38"/>
      <c r="F10" s="36"/>
      <c r="G10" s="37"/>
      <c r="H10" s="37"/>
      <c r="I10" s="38"/>
      <c r="J10" s="36"/>
      <c r="K10" s="37"/>
      <c r="L10" s="37"/>
      <c r="M10" s="38"/>
      <c r="N10" s="36"/>
      <c r="O10" s="37"/>
      <c r="P10" s="37"/>
      <c r="Q10" s="38"/>
      <c r="R10" s="36"/>
      <c r="S10" s="37"/>
      <c r="T10" s="37"/>
      <c r="U10" s="38"/>
      <c r="V10" s="36"/>
      <c r="W10" s="37"/>
      <c r="X10" s="37"/>
      <c r="Y10" s="38"/>
      <c r="Z10" s="36"/>
      <c r="AA10" s="37"/>
      <c r="AB10" s="37"/>
      <c r="AC10" s="38"/>
      <c r="AD10" s="36"/>
      <c r="AE10" s="37">
        <f>IF(AC11="","",AC11)</f>
      </c>
      <c r="AF10" s="37"/>
      <c r="AG10" s="38">
        <f>IF(AA11="","",AA11)</f>
      </c>
      <c r="AH10" s="36"/>
      <c r="AI10" s="37">
        <f>IF(AC12="","",AC12)</f>
      </c>
      <c r="AJ10" s="37"/>
      <c r="AK10" s="38">
        <f>IF(AA12="","",AA12)</f>
      </c>
      <c r="AL10" s="36"/>
      <c r="AM10" s="37"/>
      <c r="AN10" s="37"/>
      <c r="AO10" s="38"/>
      <c r="AP10" s="36"/>
      <c r="AQ10" s="37"/>
      <c r="AR10" s="37"/>
      <c r="AS10" s="38"/>
      <c r="AT10" s="40">
        <f t="shared" si="0"/>
        <v>0</v>
      </c>
      <c r="AU10" s="30">
        <f t="shared" si="1"/>
        <v>0</v>
      </c>
      <c r="AV10" s="30">
        <f t="shared" si="2"/>
        <v>0</v>
      </c>
      <c r="AW10" s="31">
        <f t="shared" si="3"/>
        <v>0</v>
      </c>
      <c r="AX10" s="32">
        <f t="shared" si="4"/>
        <v>0</v>
      </c>
      <c r="AY10" s="33">
        <f t="shared" si="5"/>
        <v>0</v>
      </c>
      <c r="AZ10" s="34">
        <f t="shared" si="6"/>
        <v>0</v>
      </c>
      <c r="BA10" s="30">
        <f t="shared" si="7"/>
        <v>0</v>
      </c>
      <c r="BB10" s="30">
        <f t="shared" si="8"/>
        <v>0</v>
      </c>
      <c r="BC10" s="30">
        <f t="shared" si="9"/>
        <v>0</v>
      </c>
      <c r="BF10" s="42"/>
      <c r="BG10" s="44"/>
      <c r="BH10" s="42"/>
      <c r="BI10" s="42"/>
      <c r="BJ10" s="42"/>
      <c r="BK10" s="42"/>
      <c r="BL10" s="43"/>
      <c r="BM10" s="45"/>
      <c r="BN10" s="45"/>
      <c r="BO10" s="45"/>
      <c r="BP10" s="45"/>
      <c r="BQ10" s="55"/>
      <c r="BS10" s="42"/>
      <c r="BT10" s="44"/>
      <c r="BU10" s="42"/>
      <c r="BV10" s="42"/>
      <c r="BW10" s="43"/>
      <c r="BX10" s="45"/>
    </row>
    <row r="11" spans="1:76" ht="19.5" customHeight="1">
      <c r="A11" s="79"/>
      <c r="B11" s="36"/>
      <c r="C11" s="37"/>
      <c r="D11" s="37"/>
      <c r="E11" s="38"/>
      <c r="F11" s="36"/>
      <c r="G11" s="37"/>
      <c r="H11" s="37"/>
      <c r="I11" s="38"/>
      <c r="J11" s="36"/>
      <c r="K11" s="37"/>
      <c r="L11" s="37"/>
      <c r="M11" s="38"/>
      <c r="N11" s="36"/>
      <c r="O11" s="37"/>
      <c r="P11" s="37"/>
      <c r="Q11" s="38"/>
      <c r="R11" s="36"/>
      <c r="S11" s="37"/>
      <c r="T11" s="37"/>
      <c r="U11" s="38"/>
      <c r="V11" s="36"/>
      <c r="W11" s="37"/>
      <c r="X11" s="37"/>
      <c r="Y11" s="38"/>
      <c r="Z11" s="36"/>
      <c r="AA11" s="37"/>
      <c r="AB11" s="37"/>
      <c r="AC11" s="38"/>
      <c r="AD11" s="36"/>
      <c r="AE11" s="37"/>
      <c r="AF11" s="37"/>
      <c r="AG11" s="38"/>
      <c r="AH11" s="36"/>
      <c r="AI11" s="37">
        <f>IF(AG12="","",AG12)</f>
      </c>
      <c r="AJ11" s="37"/>
      <c r="AK11" s="38">
        <f>IF(AE12="","",AE12)</f>
      </c>
      <c r="AL11" s="36"/>
      <c r="AM11" s="37"/>
      <c r="AN11" s="37"/>
      <c r="AO11" s="38"/>
      <c r="AP11" s="36"/>
      <c r="AQ11" s="37"/>
      <c r="AR11" s="37"/>
      <c r="AS11" s="38"/>
      <c r="AT11" s="40">
        <f t="shared" si="0"/>
        <v>0</v>
      </c>
      <c r="AU11" s="30">
        <f t="shared" si="1"/>
        <v>0</v>
      </c>
      <c r="AV11" s="30">
        <f t="shared" si="2"/>
        <v>0</v>
      </c>
      <c r="AW11" s="31">
        <f>AT11*2</f>
        <v>0</v>
      </c>
      <c r="AX11" s="32">
        <f>AU11*0</f>
        <v>0</v>
      </c>
      <c r="AY11" s="33">
        <f>AV11*1</f>
        <v>0</v>
      </c>
      <c r="AZ11" s="34">
        <f>AW11+AX11+AY11</f>
        <v>0</v>
      </c>
      <c r="BA11" s="30">
        <f>IF(ISNUMBER(G11),G11,0)+IF(ISNUMBER(K11),K11,0)+IF(ISNUMBER(O11),O11,0)+IF(ISNUMBER(AA11),AA11,0)+IF(ISNUMBER(AE11),AE11,0)+IF(ISNUMBER(AM11),AM11,0)+IF(ISNUMBER(S11),S11,0)+IF(ISNUMBER(W11),W11,0)+IF(ISNUMBER(C11),C11,0)+IF(ISNUMBER(AQ11),AQ11,0)+IF(ISNUMBER(AI11),AI11,0)</f>
        <v>0</v>
      </c>
      <c r="BB11" s="30">
        <f>IF(ISNUMBER(I11),I11,0)+IF(ISNUMBER(M11),M11,0)+IF(ISNUMBER(Q11),Q11,0)+IF(ISNUMBER(AC11),AC11,0)+IF(ISNUMBER(AG11),AG11,0)+IF(ISNUMBER(AO11),AO11,0)+IF(ISNUMBER(U11),U11,0)+IF(ISNUMBER(Y11),Y11,0)+IF(ISNUMBER(E11),E11,0)+IF(ISNUMBER(AS11),AS11,0)+IF(ISNUMBER(AK11),AK11,0)</f>
        <v>0</v>
      </c>
      <c r="BC11" s="30">
        <f>BA11-BB11</f>
        <v>0</v>
      </c>
      <c r="BF11" s="42"/>
      <c r="BG11" s="44"/>
      <c r="BH11" s="42"/>
      <c r="BI11" s="42"/>
      <c r="BJ11" s="42"/>
      <c r="BK11" s="42"/>
      <c r="BL11" s="43"/>
      <c r="BM11" s="45"/>
      <c r="BN11" s="45"/>
      <c r="BO11" s="45"/>
      <c r="BP11" s="45"/>
      <c r="BQ11" s="55"/>
      <c r="BS11" s="42"/>
      <c r="BT11" s="44"/>
      <c r="BU11" s="42"/>
      <c r="BV11" s="42"/>
      <c r="BW11" s="43"/>
      <c r="BX11" s="45"/>
    </row>
    <row r="12" spans="1:76" ht="19.5" customHeight="1">
      <c r="A12" s="79"/>
      <c r="B12" s="36"/>
      <c r="C12" s="37"/>
      <c r="D12" s="37"/>
      <c r="E12" s="38"/>
      <c r="F12" s="36"/>
      <c r="G12" s="37"/>
      <c r="H12" s="37"/>
      <c r="I12" s="38"/>
      <c r="J12" s="36"/>
      <c r="K12" s="37"/>
      <c r="L12" s="37"/>
      <c r="M12" s="38"/>
      <c r="N12" s="36"/>
      <c r="O12" s="37"/>
      <c r="P12" s="37"/>
      <c r="Q12" s="38"/>
      <c r="R12" s="36"/>
      <c r="S12" s="37"/>
      <c r="T12" s="37"/>
      <c r="U12" s="38"/>
      <c r="V12" s="36"/>
      <c r="W12" s="37"/>
      <c r="X12" s="37"/>
      <c r="Y12" s="38"/>
      <c r="Z12" s="36"/>
      <c r="AA12" s="37"/>
      <c r="AB12" s="37"/>
      <c r="AC12" s="38"/>
      <c r="AD12" s="36"/>
      <c r="AE12" s="37"/>
      <c r="AF12" s="37"/>
      <c r="AG12" s="38"/>
      <c r="AH12" s="37"/>
      <c r="AI12" s="37"/>
      <c r="AJ12" s="37"/>
      <c r="AK12" s="37"/>
      <c r="AL12" s="36"/>
      <c r="AM12" s="37"/>
      <c r="AN12" s="37"/>
      <c r="AO12" s="38"/>
      <c r="AP12" s="36"/>
      <c r="AQ12" s="37"/>
      <c r="AR12" s="37"/>
      <c r="AS12" s="38"/>
      <c r="AT12" s="40"/>
      <c r="AU12" s="30"/>
      <c r="AV12" s="30"/>
      <c r="AW12" s="31"/>
      <c r="AX12" s="32"/>
      <c r="AY12" s="33"/>
      <c r="AZ12" s="34"/>
      <c r="BA12" s="30"/>
      <c r="BB12" s="30"/>
      <c r="BC12" s="30"/>
      <c r="BF12" s="42"/>
      <c r="BG12" s="44"/>
      <c r="BH12" s="42"/>
      <c r="BI12" s="42"/>
      <c r="BJ12" s="42"/>
      <c r="BK12" s="42"/>
      <c r="BL12" s="43"/>
      <c r="BM12" s="45"/>
      <c r="BN12" s="45"/>
      <c r="BO12" s="45"/>
      <c r="BP12" s="45"/>
      <c r="BQ12" s="55"/>
      <c r="BS12" s="42"/>
      <c r="BT12" s="44"/>
      <c r="BU12" s="42"/>
      <c r="BV12" s="42"/>
      <c r="BW12" s="43"/>
      <c r="BX12" s="45"/>
    </row>
    <row r="13" spans="1:76" ht="19.5" customHeight="1">
      <c r="A13" s="79"/>
      <c r="B13" s="36"/>
      <c r="C13" s="37"/>
      <c r="D13" s="37"/>
      <c r="E13" s="38"/>
      <c r="F13" s="36"/>
      <c r="G13" s="37"/>
      <c r="H13" s="37"/>
      <c r="I13" s="38"/>
      <c r="J13" s="36"/>
      <c r="K13" s="37"/>
      <c r="L13" s="37"/>
      <c r="M13" s="38"/>
      <c r="N13" s="36"/>
      <c r="O13" s="37"/>
      <c r="P13" s="37"/>
      <c r="Q13" s="38"/>
      <c r="R13" s="36"/>
      <c r="S13" s="37"/>
      <c r="T13" s="37"/>
      <c r="U13" s="38"/>
      <c r="V13" s="36"/>
      <c r="W13" s="37"/>
      <c r="X13" s="37"/>
      <c r="Y13" s="38"/>
      <c r="Z13" s="36"/>
      <c r="AA13" s="37"/>
      <c r="AB13" s="37"/>
      <c r="AC13" s="38"/>
      <c r="AD13" s="36"/>
      <c r="AE13" s="37"/>
      <c r="AF13" s="37"/>
      <c r="AG13" s="38"/>
      <c r="AH13" s="37"/>
      <c r="AI13" s="37"/>
      <c r="AJ13" s="37"/>
      <c r="AK13" s="37"/>
      <c r="AL13" s="36"/>
      <c r="AM13" s="37"/>
      <c r="AN13" s="37"/>
      <c r="AO13" s="38"/>
      <c r="AP13" s="36"/>
      <c r="AQ13" s="37"/>
      <c r="AR13" s="37"/>
      <c r="AS13" s="38"/>
      <c r="AT13" s="40"/>
      <c r="AU13" s="30"/>
      <c r="AV13" s="30"/>
      <c r="AW13" s="31"/>
      <c r="AX13" s="32"/>
      <c r="AY13" s="33"/>
      <c r="AZ13" s="34"/>
      <c r="BA13" s="30"/>
      <c r="BB13" s="30"/>
      <c r="BC13" s="30"/>
      <c r="BF13" s="42"/>
      <c r="BG13" s="44"/>
      <c r="BH13" s="42"/>
      <c r="BI13" s="42"/>
      <c r="BJ13" s="42"/>
      <c r="BK13" s="42"/>
      <c r="BL13" s="43"/>
      <c r="BM13" s="45"/>
      <c r="BN13" s="45"/>
      <c r="BO13" s="45"/>
      <c r="BP13" s="45"/>
      <c r="BQ13" s="55"/>
      <c r="BS13" s="42"/>
      <c r="BT13" s="44"/>
      <c r="BU13" s="42"/>
      <c r="BV13" s="42"/>
      <c r="BW13" s="43"/>
      <c r="BX13" s="45"/>
    </row>
    <row r="14" spans="1:76" ht="19.5" customHeight="1">
      <c r="A14" s="79"/>
      <c r="B14" s="36"/>
      <c r="C14" s="37"/>
      <c r="D14" s="37"/>
      <c r="E14" s="38"/>
      <c r="F14" s="36"/>
      <c r="G14" s="37"/>
      <c r="H14" s="37"/>
      <c r="I14" s="38"/>
      <c r="J14" s="36"/>
      <c r="K14" s="37"/>
      <c r="L14" s="37"/>
      <c r="M14" s="38"/>
      <c r="N14" s="36"/>
      <c r="O14" s="37"/>
      <c r="P14" s="37"/>
      <c r="Q14" s="38"/>
      <c r="R14" s="36"/>
      <c r="S14" s="37"/>
      <c r="T14" s="37"/>
      <c r="U14" s="38"/>
      <c r="V14" s="36"/>
      <c r="W14" s="37"/>
      <c r="X14" s="37"/>
      <c r="Y14" s="38"/>
      <c r="Z14" s="36"/>
      <c r="AA14" s="37"/>
      <c r="AB14" s="37"/>
      <c r="AC14" s="38"/>
      <c r="AD14" s="36"/>
      <c r="AE14" s="37"/>
      <c r="AF14" s="37"/>
      <c r="AG14" s="38"/>
      <c r="AH14" s="37"/>
      <c r="AI14" s="37"/>
      <c r="AJ14" s="37"/>
      <c r="AK14" s="37"/>
      <c r="AL14" s="36"/>
      <c r="AM14" s="37"/>
      <c r="AN14" s="37"/>
      <c r="AO14" s="38"/>
      <c r="AP14" s="36"/>
      <c r="AQ14" s="37"/>
      <c r="AR14" s="37"/>
      <c r="AS14" s="38"/>
      <c r="AT14" s="40"/>
      <c r="AU14" s="30"/>
      <c r="AV14" s="30"/>
      <c r="AW14" s="31"/>
      <c r="AX14" s="32"/>
      <c r="AY14" s="33"/>
      <c r="AZ14" s="34"/>
      <c r="BA14" s="30"/>
      <c r="BB14" s="30"/>
      <c r="BC14" s="30"/>
      <c r="BF14" s="42"/>
      <c r="BG14" s="44"/>
      <c r="BH14" s="42"/>
      <c r="BI14" s="42"/>
      <c r="BJ14" s="42"/>
      <c r="BK14" s="42"/>
      <c r="BL14" s="43"/>
      <c r="BM14" s="45"/>
      <c r="BN14" s="45"/>
      <c r="BO14" s="45"/>
      <c r="BP14" s="45"/>
      <c r="BQ14" s="55"/>
      <c r="BS14" s="42"/>
      <c r="BT14" s="44"/>
      <c r="BU14" s="42"/>
      <c r="BV14" s="42"/>
      <c r="BW14" s="43"/>
      <c r="BX14" s="45"/>
    </row>
    <row r="15" spans="1:74" ht="19.5" customHeight="1">
      <c r="A15" s="4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4"/>
      <c r="AH15" s="4"/>
      <c r="AI15" s="4"/>
      <c r="AJ15" s="4"/>
      <c r="AK15" s="4"/>
      <c r="AL15" s="4"/>
      <c r="AM15" s="7"/>
      <c r="AN15" s="2"/>
      <c r="AO15" s="1"/>
      <c r="AP15" s="1"/>
      <c r="AQ15" s="1"/>
      <c r="AR15" s="1"/>
      <c r="AS15" s="1"/>
      <c r="AT15" s="6">
        <f>SUM(AT4:AT14)</f>
        <v>14</v>
      </c>
      <c r="AU15" s="6">
        <f>SUM(AU4:AU14)</f>
        <v>14</v>
      </c>
      <c r="AV15" s="6">
        <f>SUM(AV4:AV14)</f>
        <v>0</v>
      </c>
      <c r="AW15" s="6"/>
      <c r="AX15" s="6"/>
      <c r="AY15" s="1"/>
      <c r="AZ15" s="1"/>
      <c r="BA15" s="1">
        <f>SUM(BA4:BA14)</f>
        <v>203</v>
      </c>
      <c r="BB15" s="1">
        <f>SUM(BB4:BB14)</f>
        <v>203</v>
      </c>
      <c r="BC15" s="1">
        <f>SUM(BC4:BC14)</f>
        <v>0</v>
      </c>
      <c r="BU15" s="53">
        <f>SUM(BU4:BU14)/2</f>
        <v>11.5</v>
      </c>
      <c r="BV15" s="3">
        <f>5*4/2</f>
        <v>10</v>
      </c>
    </row>
    <row r="16" spans="1:55" ht="19.5" customHeight="1">
      <c r="A16" s="78" t="s">
        <v>56</v>
      </c>
      <c r="B16" s="73" t="s">
        <v>53</v>
      </c>
      <c r="C16" s="51"/>
      <c r="D16" s="51"/>
      <c r="E16" s="51"/>
      <c r="F16" s="51"/>
      <c r="G16" s="171" t="str">
        <f>"１日"&amp;ROUND((BV29-BU29)/'戦績'!N42,1)&amp;"試合"</f>
        <v>１日0試合</v>
      </c>
      <c r="H16" s="171"/>
      <c r="I16" s="171"/>
      <c r="J16" s="171"/>
      <c r="K16" s="163" t="s">
        <v>20</v>
      </c>
      <c r="L16" s="163"/>
      <c r="M16" s="163"/>
      <c r="N16" s="163"/>
      <c r="O16" s="165" t="str">
        <f>IF(C71&gt;C70,+BM18,"")</f>
        <v>大橋みどりファイターズ</v>
      </c>
      <c r="P16" s="165"/>
      <c r="Q16" s="165"/>
      <c r="R16" s="165"/>
      <c r="S16" s="165"/>
      <c r="T16" s="52"/>
      <c r="U16" s="163" t="s">
        <v>21</v>
      </c>
      <c r="V16" s="163"/>
      <c r="W16" s="163"/>
      <c r="X16" s="163"/>
      <c r="Y16" s="165" t="str">
        <f>IF(C71&gt;C70,+BM19,"")</f>
        <v>柏ドリームス</v>
      </c>
      <c r="Z16" s="165"/>
      <c r="AA16" s="165"/>
      <c r="AB16" s="165"/>
      <c r="AC16" s="165"/>
      <c r="AD16" s="165"/>
      <c r="AE16" s="54" t="s">
        <v>26</v>
      </c>
      <c r="AF16" s="1"/>
      <c r="AG16" s="1"/>
      <c r="AH16" s="1"/>
      <c r="AI16" s="1"/>
      <c r="AJ16" s="1"/>
      <c r="AK16" s="1"/>
      <c r="AL16" s="1"/>
      <c r="AM16" s="1"/>
      <c r="AN16" s="54" t="s">
        <v>26</v>
      </c>
      <c r="AO16" s="1"/>
      <c r="AP16" s="1"/>
      <c r="AQ16" s="1"/>
      <c r="AR16" s="184">
        <f>+BU29/(MAX(BF18:BF27)*(MAX(BF18:BF27)-1)/2)</f>
        <v>0.6666666666666666</v>
      </c>
      <c r="AS16" s="184"/>
      <c r="AT16" s="60">
        <f>IF(AT15=AU15,"","計算間違い")</f>
      </c>
      <c r="AU16" s="1"/>
      <c r="AV16" s="1"/>
      <c r="AW16" s="1" t="s">
        <v>14</v>
      </c>
      <c r="AX16" s="1" t="s">
        <v>15</v>
      </c>
      <c r="AY16" s="1" t="s">
        <v>16</v>
      </c>
      <c r="AZ16" s="1"/>
      <c r="BA16" s="1"/>
      <c r="BB16" s="1"/>
      <c r="BC16" s="1"/>
    </row>
    <row r="17" spans="1:73" ht="19.5" customHeight="1">
      <c r="A17" s="5"/>
      <c r="B17" s="164" t="str">
        <f>+A18</f>
        <v>根木内ヤングスターズ</v>
      </c>
      <c r="C17" s="164"/>
      <c r="D17" s="164"/>
      <c r="E17" s="164"/>
      <c r="F17" s="164" t="str">
        <f>+A19</f>
        <v>大橋みどりファイターズ</v>
      </c>
      <c r="G17" s="164"/>
      <c r="H17" s="164"/>
      <c r="I17" s="164"/>
      <c r="J17" s="164" t="str">
        <f>+A20</f>
        <v>リトルベアーズ</v>
      </c>
      <c r="K17" s="164"/>
      <c r="L17" s="164"/>
      <c r="M17" s="164"/>
      <c r="N17" s="164" t="str">
        <f>+A21</f>
        <v>柏ドリームス</v>
      </c>
      <c r="O17" s="164"/>
      <c r="P17" s="164"/>
      <c r="Q17" s="164"/>
      <c r="R17" s="164" t="str">
        <f>+A22</f>
        <v>柏南・新柏ツィンズ</v>
      </c>
      <c r="S17" s="164"/>
      <c r="T17" s="164"/>
      <c r="U17" s="164"/>
      <c r="V17" s="164" t="str">
        <f>+A23</f>
        <v>リトルイーグルス</v>
      </c>
      <c r="W17" s="164"/>
      <c r="X17" s="164"/>
      <c r="Y17" s="164"/>
      <c r="Z17" s="164"/>
      <c r="AA17" s="164"/>
      <c r="AB17" s="164"/>
      <c r="AC17" s="164"/>
      <c r="AD17" s="164"/>
      <c r="AE17" s="164"/>
      <c r="AF17" s="164"/>
      <c r="AG17" s="164"/>
      <c r="AH17" s="164"/>
      <c r="AI17" s="164"/>
      <c r="AJ17" s="164"/>
      <c r="AK17" s="164"/>
      <c r="AL17" s="164"/>
      <c r="AM17" s="164"/>
      <c r="AN17" s="164"/>
      <c r="AO17" s="164"/>
      <c r="AP17" s="164"/>
      <c r="AQ17" s="164"/>
      <c r="AR17" s="164"/>
      <c r="AS17" s="164"/>
      <c r="AT17" s="25" t="s">
        <v>4</v>
      </c>
      <c r="AU17" s="25" t="s">
        <v>5</v>
      </c>
      <c r="AV17" s="25" t="s">
        <v>6</v>
      </c>
      <c r="AW17" s="26" t="s">
        <v>11</v>
      </c>
      <c r="AX17" s="27" t="s">
        <v>12</v>
      </c>
      <c r="AY17" s="28" t="s">
        <v>13</v>
      </c>
      <c r="AZ17" s="29" t="s">
        <v>7</v>
      </c>
      <c r="BA17" s="25" t="s">
        <v>8</v>
      </c>
      <c r="BB17" s="25" t="s">
        <v>9</v>
      </c>
      <c r="BC17" s="25" t="s">
        <v>10</v>
      </c>
      <c r="BF17" s="41"/>
      <c r="BG17" s="41" t="s">
        <v>17</v>
      </c>
      <c r="BH17" s="41" t="s">
        <v>18</v>
      </c>
      <c r="BI17" s="41"/>
      <c r="BJ17" s="41"/>
      <c r="BK17" s="41"/>
      <c r="BL17" s="41"/>
      <c r="BT17" s="3" t="s">
        <v>17</v>
      </c>
      <c r="BU17" s="3" t="s">
        <v>19</v>
      </c>
    </row>
    <row r="18" spans="1:76" ht="19.5" customHeight="1">
      <c r="A18" s="79" t="s">
        <v>70</v>
      </c>
      <c r="B18" s="36"/>
      <c r="C18" s="37"/>
      <c r="D18" s="37"/>
      <c r="E18" s="38"/>
      <c r="F18" s="36"/>
      <c r="G18" s="37">
        <f>IF(E19="","",E19)</f>
        <v>1</v>
      </c>
      <c r="H18" s="37"/>
      <c r="I18" s="38">
        <f>IF(C19="","",C19)</f>
        <v>23</v>
      </c>
      <c r="J18" s="36"/>
      <c r="K18" s="37">
        <f>IF(E20="","",E20)</f>
      </c>
      <c r="L18" s="37"/>
      <c r="M18" s="38">
        <f>IF(C20="","",C20)</f>
      </c>
      <c r="N18" s="36"/>
      <c r="O18" s="37">
        <f>IF(E21="","",E21)</f>
        <v>2</v>
      </c>
      <c r="P18" s="37"/>
      <c r="Q18" s="38">
        <f>IF(C21="","",C21)</f>
        <v>17</v>
      </c>
      <c r="R18" s="36"/>
      <c r="S18" s="37">
        <f>IF(E22="","",E22)</f>
        <v>9</v>
      </c>
      <c r="T18" s="37"/>
      <c r="U18" s="38">
        <f>IF(C22="","",C22)</f>
        <v>8</v>
      </c>
      <c r="V18" s="36"/>
      <c r="W18" s="37">
        <f>IF(E23="","",E23)</f>
        <v>9</v>
      </c>
      <c r="X18" s="37"/>
      <c r="Y18" s="38">
        <f>IF(C23="","",C23)</f>
        <v>5</v>
      </c>
      <c r="Z18" s="36"/>
      <c r="AA18" s="37">
        <f>IF(E24="","",E24)</f>
      </c>
      <c r="AB18" s="37"/>
      <c r="AC18" s="38">
        <f>IF(C24="","",C24)</f>
      </c>
      <c r="AD18" s="36"/>
      <c r="AE18" s="37">
        <f>IF(E25="","",E25)</f>
      </c>
      <c r="AF18" s="37"/>
      <c r="AG18" s="38">
        <f>IF(C25="","",C25)</f>
      </c>
      <c r="AH18" s="36"/>
      <c r="AI18" s="37">
        <f>IF(E26="","",E26)</f>
      </c>
      <c r="AJ18" s="37"/>
      <c r="AK18" s="38">
        <f>IF(C26="","",C26)</f>
      </c>
      <c r="AL18" s="36"/>
      <c r="AM18" s="37"/>
      <c r="AN18" s="37"/>
      <c r="AO18" s="38"/>
      <c r="AP18" s="36"/>
      <c r="AQ18" s="37">
        <f>IF(E28="","",E28)</f>
      </c>
      <c r="AR18" s="37"/>
      <c r="AS18" s="38">
        <f>IF(C28="","",C28)</f>
      </c>
      <c r="AT18" s="40">
        <f aca="true" t="shared" si="24" ref="AT18:AT25">IF(C18&gt;E18,1,0)+IF(G18&gt;I18,1,0)+IF(K18&gt;M18,1,0)+IF(O18&gt;Q18,1,0)+IF(S18&gt;U18,1,0)+IF(W18&gt;Y18,1,0)+IF(AA18&gt;AC18,1,0)+IF(AE18&gt;AG18,1,0)+IF(AQ18&gt;AS18,1,0)+IF(AI18&gt;AK18,1,0)</f>
        <v>2</v>
      </c>
      <c r="AU18" s="30">
        <f aca="true" t="shared" si="25" ref="AU18:AU25">IF(C18&lt;E18,1,0)+IF(G18&lt;I18,1,0)+IF(K18&lt;M18,1,0)+IF(O18&lt;Q18,1,0)+IF(S18&lt;U18,1,0)+IF(W18&lt;Y18,1,0)+IF(AA18&lt;AC18,1,0)+IF(AE18&lt;AG18,1,0)+IF(AQ18&lt;AS18,1,0)+IF(AI18&lt;AK18,1,0)</f>
        <v>2</v>
      </c>
      <c r="AV18" s="30">
        <f aca="true" t="shared" si="26" ref="AV18:AV25">IF(AND(ISNUMBER(C18),C18=E18),1,0)+IF(AND(ISNUMBER(G18),G18=I18),1,0)+IF(AND(ISNUMBER(K18),K18=M18),1,)+IF(AND(ISNUMBER(O18),O18=Q18),1,0)+IF(AND(ISNUMBER(S18),S18=U18),1,0)+IF(AND(ISNUMBER(W18),W18=Y18),1,0)+IF(AND(ISNUMBER(AA18),AA18=AC18),1,0)+IF(AND(ISNUMBER(AE18),AE18=AG18),1,0)+IF(AND(ISNUMBER(AQ18),AQ18=AS18),1,0)+IF(AND(ISNUMBER(AI18),AI18=AK18),1,0)</f>
        <v>0</v>
      </c>
      <c r="AW18" s="31">
        <f aca="true" t="shared" si="27" ref="AW18:AW24">AT18*2</f>
        <v>4</v>
      </c>
      <c r="AX18" s="32">
        <f aca="true" t="shared" si="28" ref="AX18:AX24">AU18*0</f>
        <v>0</v>
      </c>
      <c r="AY18" s="33">
        <f aca="true" t="shared" si="29" ref="AY18:AY24">AV18*1</f>
        <v>0</v>
      </c>
      <c r="AZ18" s="34">
        <f aca="true" t="shared" si="30" ref="AZ18:AZ24">AW18+AX18+AY18</f>
        <v>4</v>
      </c>
      <c r="BA18" s="30">
        <f aca="true" t="shared" si="31" ref="BA18:BA24">IF(ISNUMBER(G18),G18,0)+IF(ISNUMBER(K18),K18,0)+IF(ISNUMBER(O18),O18,0)+IF(ISNUMBER(AA18),AA18,0)+IF(ISNUMBER(AE18),AE18,0)+IF(ISNUMBER(AM18),AM18,0)+IF(ISNUMBER(S18),S18,0)+IF(ISNUMBER(W18),W18,0)+IF(ISNUMBER(C18),C18,0)+IF(ISNUMBER(AQ18),AQ18,0)+IF(ISNUMBER(AI18),AI18,0)</f>
        <v>21</v>
      </c>
      <c r="BB18" s="30">
        <f aca="true" t="shared" si="32" ref="BB18:BB24">IF(ISNUMBER(I18),I18,0)+IF(ISNUMBER(M18),M18,0)+IF(ISNUMBER(Q18),Q18,0)+IF(ISNUMBER(AC18),AC18,0)+IF(ISNUMBER(AG18),AG18,0)+IF(ISNUMBER(AO18),AO18,0)+IF(ISNUMBER(U18),U18,0)+IF(ISNUMBER(Y18),Y18,0)+IF(ISNUMBER(E18),E18,0)+IF(ISNUMBER(AS18),AS18,0)+IF(ISNUMBER(AK18),AK18,0)</f>
        <v>53</v>
      </c>
      <c r="BC18" s="30">
        <f aca="true" t="shared" si="33" ref="BC18:BC24">BA18-BB18</f>
        <v>-32</v>
      </c>
      <c r="BF18" s="42">
        <f>BK18+COUNTIF(BK$17:BK17,BK18)</f>
        <v>3</v>
      </c>
      <c r="BG18" s="44" t="str">
        <f aca="true" t="shared" si="34" ref="BG18:BG23">+A18</f>
        <v>根木内ヤングスターズ</v>
      </c>
      <c r="BH18" s="42">
        <f aca="true" t="shared" si="35" ref="BH18:BH23">+AZ18</f>
        <v>4</v>
      </c>
      <c r="BI18" s="42">
        <f aca="true" t="shared" si="36" ref="BI18:BI23">+AT18</f>
        <v>2</v>
      </c>
      <c r="BJ18" s="42">
        <f aca="true" t="shared" si="37" ref="BJ18:BJ23">+AT18+AU18+AV18</f>
        <v>4</v>
      </c>
      <c r="BK18" s="42">
        <f aca="true" t="shared" si="38" ref="BK18:BK23">RANK(BH18,BH$18:BH$23)</f>
        <v>3</v>
      </c>
      <c r="BL18" s="43">
        <f aca="true" t="shared" si="39" ref="BL18:BL23">VLOOKUP(ROW(BF1),$BF$18:$BK$23,6,FALSE)</f>
        <v>1</v>
      </c>
      <c r="BM18" s="45" t="str">
        <f aca="true" t="shared" si="40" ref="BM18:BM23">VLOOKUP(ROW(BF1),$BF$18:$BK$23,2,FALSE)</f>
        <v>大橋みどりファイターズ</v>
      </c>
      <c r="BN18" s="45">
        <f aca="true" t="shared" si="41" ref="BN18:BN23">VLOOKUP(ROW(BF1),$BF$18:$BK$23,3,FALSE)</f>
        <v>10</v>
      </c>
      <c r="BO18" s="45">
        <f aca="true" t="shared" si="42" ref="BO18:BO23">VLOOKUP(ROW(BF1),$BF$18:$BK$23,4,FALSE)</f>
        <v>5</v>
      </c>
      <c r="BP18" s="45">
        <f aca="true" t="shared" si="43" ref="BP18:BP23">VLOOKUP(ROW(BF1),$BF$18:$BK$23,5,FALSE)</f>
        <v>5</v>
      </c>
      <c r="BQ18" s="55"/>
      <c r="BS18" s="42">
        <f>BV18+COUNTIF(BV$17:BV17,BV18)</f>
        <v>4</v>
      </c>
      <c r="BT18" s="44" t="str">
        <f aca="true" t="shared" si="44" ref="BT18:BT23">+BG18</f>
        <v>根木内ヤングスターズ</v>
      </c>
      <c r="BU18" s="42">
        <f aca="true" t="shared" si="45" ref="BU18:BU23">COUNT(B18:U18)/2</f>
        <v>3</v>
      </c>
      <c r="BV18" s="42">
        <f aca="true" t="shared" si="46" ref="BV18:BV23">RANK(BU18,BU$18:BU$23)</f>
        <v>4</v>
      </c>
      <c r="BW18" s="43">
        <f aca="true" t="shared" si="47" ref="BW18:BW23">VLOOKUP(ROW(BS1),$BS$18:$BV$23,4,FALSE)</f>
        <v>1</v>
      </c>
      <c r="BX18" s="45" t="str">
        <f aca="true" t="shared" si="48" ref="BX18:BX23">VLOOKUP(ROW(BT1),$BS$18:$BV$23,2,FALSE)</f>
        <v>大橋みどりファイターズ</v>
      </c>
    </row>
    <row r="19" spans="1:76" ht="19.5" customHeight="1">
      <c r="A19" s="79" t="s">
        <v>80</v>
      </c>
      <c r="B19" s="37"/>
      <c r="C19" s="37">
        <v>23</v>
      </c>
      <c r="D19" s="37"/>
      <c r="E19" s="38">
        <v>1</v>
      </c>
      <c r="F19" s="36"/>
      <c r="G19" s="37"/>
      <c r="H19" s="37"/>
      <c r="I19" s="38"/>
      <c r="J19" s="36"/>
      <c r="K19" s="37">
        <f>IF(I20="","",I20)</f>
        <v>1</v>
      </c>
      <c r="L19" s="37"/>
      <c r="M19" s="38">
        <f>IF(G20="","",G20)</f>
        <v>0</v>
      </c>
      <c r="N19" s="36"/>
      <c r="O19" s="37">
        <f>IF(I21="","",I21)</f>
        <v>10</v>
      </c>
      <c r="P19" s="37"/>
      <c r="Q19" s="38">
        <f>IF(G21="","",G21)</f>
        <v>4</v>
      </c>
      <c r="R19" s="36"/>
      <c r="S19" s="37">
        <f>IF(I22="","",I22)</f>
        <v>8</v>
      </c>
      <c r="T19" s="37"/>
      <c r="U19" s="38">
        <f>IF(G22="","",G22)</f>
        <v>6</v>
      </c>
      <c r="V19" s="36"/>
      <c r="W19" s="37">
        <f>IF(I23="","",I23)</f>
        <v>13</v>
      </c>
      <c r="X19" s="37"/>
      <c r="Y19" s="38">
        <f>IF(G23="","",G23)</f>
        <v>1</v>
      </c>
      <c r="Z19" s="36"/>
      <c r="AA19" s="37">
        <f>IF(I24="","",I24)</f>
      </c>
      <c r="AB19" s="37"/>
      <c r="AC19" s="38">
        <f>IF(G24="","",G24)</f>
      </c>
      <c r="AD19" s="36"/>
      <c r="AE19" s="37">
        <f>IF(I25="","",I25)</f>
      </c>
      <c r="AF19" s="37"/>
      <c r="AG19" s="38">
        <f>IF(G25="","",G25)</f>
      </c>
      <c r="AH19" s="36"/>
      <c r="AI19" s="37">
        <f>IF(I26="","",I26)</f>
      </c>
      <c r="AJ19" s="37"/>
      <c r="AK19" s="38">
        <f>IF(G26="","",G26)</f>
      </c>
      <c r="AL19" s="36"/>
      <c r="AM19" s="37"/>
      <c r="AN19" s="37"/>
      <c r="AO19" s="38"/>
      <c r="AP19" s="36"/>
      <c r="AQ19" s="37">
        <f>IF(I28="","",I28)</f>
      </c>
      <c r="AR19" s="37"/>
      <c r="AS19" s="38">
        <f>IF(G28="","",G28)</f>
      </c>
      <c r="AT19" s="40">
        <f t="shared" si="24"/>
        <v>5</v>
      </c>
      <c r="AU19" s="30">
        <f t="shared" si="25"/>
        <v>0</v>
      </c>
      <c r="AV19" s="30">
        <f t="shared" si="26"/>
        <v>0</v>
      </c>
      <c r="AW19" s="31">
        <f t="shared" si="27"/>
        <v>10</v>
      </c>
      <c r="AX19" s="32">
        <f t="shared" si="28"/>
        <v>0</v>
      </c>
      <c r="AY19" s="33">
        <f t="shared" si="29"/>
        <v>0</v>
      </c>
      <c r="AZ19" s="34">
        <f t="shared" si="30"/>
        <v>10</v>
      </c>
      <c r="BA19" s="30">
        <f t="shared" si="31"/>
        <v>55</v>
      </c>
      <c r="BB19" s="30">
        <f t="shared" si="32"/>
        <v>12</v>
      </c>
      <c r="BC19" s="30">
        <f t="shared" si="33"/>
        <v>43</v>
      </c>
      <c r="BF19" s="42">
        <f>BK19+COUNTIF(BK$17:BK18,BK19)</f>
        <v>1</v>
      </c>
      <c r="BG19" s="44" t="str">
        <f t="shared" si="34"/>
        <v>大橋みどりファイターズ</v>
      </c>
      <c r="BH19" s="42">
        <f t="shared" si="35"/>
        <v>10</v>
      </c>
      <c r="BI19" s="42">
        <f t="shared" si="36"/>
        <v>5</v>
      </c>
      <c r="BJ19" s="42">
        <f t="shared" si="37"/>
        <v>5</v>
      </c>
      <c r="BK19" s="42">
        <f t="shared" si="38"/>
        <v>1</v>
      </c>
      <c r="BL19" s="43">
        <f t="shared" si="39"/>
        <v>2</v>
      </c>
      <c r="BM19" s="45" t="str">
        <f t="shared" si="40"/>
        <v>柏ドリームス</v>
      </c>
      <c r="BN19" s="45">
        <f t="shared" si="41"/>
        <v>5</v>
      </c>
      <c r="BO19" s="45">
        <f t="shared" si="42"/>
        <v>2</v>
      </c>
      <c r="BP19" s="45">
        <f t="shared" si="43"/>
        <v>5</v>
      </c>
      <c r="BQ19" s="55"/>
      <c r="BS19" s="42">
        <f>BV19+COUNTIF(BV$17:BV18,BV19)</f>
        <v>1</v>
      </c>
      <c r="BT19" s="44" t="str">
        <f t="shared" si="44"/>
        <v>大橋みどりファイターズ</v>
      </c>
      <c r="BU19" s="42">
        <f t="shared" si="45"/>
        <v>4</v>
      </c>
      <c r="BV19" s="42">
        <f t="shared" si="46"/>
        <v>1</v>
      </c>
      <c r="BW19" s="43">
        <f t="shared" si="47"/>
        <v>1</v>
      </c>
      <c r="BX19" s="45" t="str">
        <f t="shared" si="48"/>
        <v>柏ドリームス</v>
      </c>
    </row>
    <row r="20" spans="1:76" ht="19.5" customHeight="1">
      <c r="A20" s="79" t="s">
        <v>69</v>
      </c>
      <c r="B20" s="36"/>
      <c r="C20" s="37"/>
      <c r="D20" s="37"/>
      <c r="E20" s="38"/>
      <c r="F20" s="36"/>
      <c r="G20" s="37">
        <v>0</v>
      </c>
      <c r="H20" s="37"/>
      <c r="I20" s="38">
        <v>1</v>
      </c>
      <c r="J20" s="36"/>
      <c r="K20" s="37"/>
      <c r="L20" s="37"/>
      <c r="M20" s="38"/>
      <c r="N20" s="36"/>
      <c r="O20" s="37">
        <f>IF(M21="","",M21)</f>
        <v>11</v>
      </c>
      <c r="P20" s="37"/>
      <c r="Q20" s="38">
        <f>IF(K21="","",K21)</f>
        <v>7</v>
      </c>
      <c r="R20" s="36"/>
      <c r="S20" s="37">
        <f>IF(M22="","",M22)</f>
      </c>
      <c r="T20" s="37"/>
      <c r="U20" s="38">
        <f>IF(K22="","",K22)</f>
      </c>
      <c r="V20" s="36"/>
      <c r="W20" s="37">
        <f>IF(M23="","",M23)</f>
        <v>8</v>
      </c>
      <c r="X20" s="37"/>
      <c r="Y20" s="38">
        <f>IF(K23="","",K23)</f>
        <v>9</v>
      </c>
      <c r="Z20" s="36"/>
      <c r="AA20" s="37">
        <f>IF(M24="","",M24)</f>
      </c>
      <c r="AB20" s="37"/>
      <c r="AC20" s="38">
        <f>IF(K24="","",K24)</f>
      </c>
      <c r="AD20" s="36"/>
      <c r="AE20" s="37">
        <f>IF(M25="","",M25)</f>
      </c>
      <c r="AF20" s="37"/>
      <c r="AG20" s="38">
        <f>IF(K25="","",K25)</f>
      </c>
      <c r="AH20" s="36"/>
      <c r="AI20" s="37">
        <f>IF(M26="","",M26)</f>
      </c>
      <c r="AJ20" s="37"/>
      <c r="AK20" s="38">
        <f>IF(K26="","",K26)</f>
      </c>
      <c r="AL20" s="36"/>
      <c r="AM20" s="37"/>
      <c r="AN20" s="37"/>
      <c r="AO20" s="38"/>
      <c r="AP20" s="36"/>
      <c r="AQ20" s="37">
        <f>IF(M28="","",M28)</f>
      </c>
      <c r="AR20" s="37"/>
      <c r="AS20" s="38">
        <f>IF(K28="","",K28)</f>
      </c>
      <c r="AT20" s="40">
        <f t="shared" si="24"/>
        <v>1</v>
      </c>
      <c r="AU20" s="30">
        <f t="shared" si="25"/>
        <v>2</v>
      </c>
      <c r="AV20" s="30">
        <f t="shared" si="26"/>
        <v>0</v>
      </c>
      <c r="AW20" s="31">
        <f t="shared" si="27"/>
        <v>2</v>
      </c>
      <c r="AX20" s="32">
        <f t="shared" si="28"/>
        <v>0</v>
      </c>
      <c r="AY20" s="33">
        <f t="shared" si="29"/>
        <v>0</v>
      </c>
      <c r="AZ20" s="34">
        <f t="shared" si="30"/>
        <v>2</v>
      </c>
      <c r="BA20" s="30">
        <f t="shared" si="31"/>
        <v>19</v>
      </c>
      <c r="BB20" s="30">
        <f t="shared" si="32"/>
        <v>17</v>
      </c>
      <c r="BC20" s="30">
        <f t="shared" si="33"/>
        <v>2</v>
      </c>
      <c r="BD20" s="39"/>
      <c r="BF20" s="42">
        <f>BK20+COUNTIF(BK$17:BK19,BK20)</f>
        <v>5</v>
      </c>
      <c r="BG20" s="44" t="str">
        <f t="shared" si="34"/>
        <v>リトルベアーズ</v>
      </c>
      <c r="BH20" s="42">
        <f t="shared" si="35"/>
        <v>2</v>
      </c>
      <c r="BI20" s="42">
        <f t="shared" si="36"/>
        <v>1</v>
      </c>
      <c r="BJ20" s="42">
        <f t="shared" si="37"/>
        <v>3</v>
      </c>
      <c r="BK20" s="42">
        <f t="shared" si="38"/>
        <v>5</v>
      </c>
      <c r="BL20" s="43">
        <f t="shared" si="39"/>
        <v>3</v>
      </c>
      <c r="BM20" s="45" t="str">
        <f t="shared" si="40"/>
        <v>根木内ヤングスターズ</v>
      </c>
      <c r="BN20" s="45">
        <f t="shared" si="41"/>
        <v>4</v>
      </c>
      <c r="BO20" s="45">
        <f t="shared" si="42"/>
        <v>2</v>
      </c>
      <c r="BP20" s="45">
        <f t="shared" si="43"/>
        <v>4</v>
      </c>
      <c r="BQ20" s="55"/>
      <c r="BS20" s="42">
        <f>BV20+COUNTIF(BV$17:BV19,BV20)</f>
        <v>6</v>
      </c>
      <c r="BT20" s="44" t="str">
        <f t="shared" si="44"/>
        <v>リトルベアーズ</v>
      </c>
      <c r="BU20" s="42">
        <f t="shared" si="45"/>
        <v>2</v>
      </c>
      <c r="BV20" s="42">
        <f t="shared" si="46"/>
        <v>6</v>
      </c>
      <c r="BW20" s="43">
        <f t="shared" si="47"/>
        <v>1</v>
      </c>
      <c r="BX20" s="45" t="str">
        <f t="shared" si="48"/>
        <v>リトルイーグルス</v>
      </c>
    </row>
    <row r="21" spans="1:76" ht="19.5" customHeight="1">
      <c r="A21" s="79" t="s">
        <v>86</v>
      </c>
      <c r="B21" s="36"/>
      <c r="C21" s="37">
        <v>17</v>
      </c>
      <c r="D21" s="37"/>
      <c r="E21" s="38">
        <v>2</v>
      </c>
      <c r="F21" s="36"/>
      <c r="G21" s="37">
        <v>4</v>
      </c>
      <c r="H21" s="37"/>
      <c r="I21" s="38">
        <v>10</v>
      </c>
      <c r="J21" s="36"/>
      <c r="K21" s="37">
        <v>7</v>
      </c>
      <c r="L21" s="37"/>
      <c r="M21" s="38">
        <v>11</v>
      </c>
      <c r="N21" s="36"/>
      <c r="O21" s="37"/>
      <c r="P21" s="37"/>
      <c r="Q21" s="38"/>
      <c r="R21" s="36"/>
      <c r="S21" s="37">
        <f>IF(Q22="","",Q22)</f>
        <v>7</v>
      </c>
      <c r="T21" s="37"/>
      <c r="U21" s="38">
        <f>IF(O22="","",O22)</f>
        <v>1</v>
      </c>
      <c r="V21" s="36"/>
      <c r="W21" s="37">
        <f>IF(Q23="","",Q23)</f>
        <v>4</v>
      </c>
      <c r="X21" s="37"/>
      <c r="Y21" s="38">
        <f>IF(O23="","",O23)</f>
        <v>4</v>
      </c>
      <c r="Z21" s="36"/>
      <c r="AA21" s="37">
        <f>IF(Q24="","",Q24)</f>
      </c>
      <c r="AB21" s="37"/>
      <c r="AC21" s="38">
        <f>IF(O24="","",O24)</f>
      </c>
      <c r="AD21" s="36"/>
      <c r="AE21" s="37">
        <f>IF(Q25="","",Q25)</f>
      </c>
      <c r="AF21" s="37"/>
      <c r="AG21" s="38">
        <f>IF(O25="","",O25)</f>
      </c>
      <c r="AH21" s="36"/>
      <c r="AI21" s="37">
        <f>IF(Q26="","",Q26)</f>
      </c>
      <c r="AJ21" s="37"/>
      <c r="AK21" s="38">
        <f>IF(O26="","",O26)</f>
      </c>
      <c r="AL21" s="36"/>
      <c r="AM21" s="37"/>
      <c r="AN21" s="37"/>
      <c r="AO21" s="38"/>
      <c r="AP21" s="36"/>
      <c r="AQ21" s="37">
        <f>IF(Q28="","",Q28)</f>
      </c>
      <c r="AR21" s="37"/>
      <c r="AS21" s="38">
        <f>IF(O28="","",O28)</f>
      </c>
      <c r="AT21" s="40">
        <f t="shared" si="24"/>
        <v>2</v>
      </c>
      <c r="AU21" s="30">
        <f t="shared" si="25"/>
        <v>2</v>
      </c>
      <c r="AV21" s="30">
        <f t="shared" si="26"/>
        <v>1</v>
      </c>
      <c r="AW21" s="31">
        <f t="shared" si="27"/>
        <v>4</v>
      </c>
      <c r="AX21" s="32">
        <f t="shared" si="28"/>
        <v>0</v>
      </c>
      <c r="AY21" s="33">
        <f t="shared" si="29"/>
        <v>1</v>
      </c>
      <c r="AZ21" s="34">
        <f t="shared" si="30"/>
        <v>5</v>
      </c>
      <c r="BA21" s="30">
        <f t="shared" si="31"/>
        <v>39</v>
      </c>
      <c r="BB21" s="30">
        <f t="shared" si="32"/>
        <v>28</v>
      </c>
      <c r="BC21" s="30">
        <f t="shared" si="33"/>
        <v>11</v>
      </c>
      <c r="BF21" s="42">
        <f>BK21+COUNTIF(BK$17:BK20,BK21)</f>
        <v>2</v>
      </c>
      <c r="BG21" s="44" t="str">
        <f t="shared" si="34"/>
        <v>柏ドリームス</v>
      </c>
      <c r="BH21" s="42">
        <f t="shared" si="35"/>
        <v>5</v>
      </c>
      <c r="BI21" s="42">
        <f t="shared" si="36"/>
        <v>2</v>
      </c>
      <c r="BJ21" s="42">
        <f t="shared" si="37"/>
        <v>5</v>
      </c>
      <c r="BK21" s="42">
        <f t="shared" si="38"/>
        <v>2</v>
      </c>
      <c r="BL21" s="43">
        <f t="shared" si="39"/>
        <v>4</v>
      </c>
      <c r="BM21" s="45" t="str">
        <f t="shared" si="40"/>
        <v>リトルイーグルス</v>
      </c>
      <c r="BN21" s="45">
        <f t="shared" si="41"/>
        <v>3</v>
      </c>
      <c r="BO21" s="45">
        <f t="shared" si="42"/>
        <v>1</v>
      </c>
      <c r="BP21" s="45">
        <f t="shared" si="43"/>
        <v>4</v>
      </c>
      <c r="BQ21" s="55"/>
      <c r="BS21" s="42">
        <f>BV21+COUNTIF(BV$17:BV20,BV21)</f>
        <v>2</v>
      </c>
      <c r="BT21" s="44" t="str">
        <f t="shared" si="44"/>
        <v>柏ドリームス</v>
      </c>
      <c r="BU21" s="42">
        <f t="shared" si="45"/>
        <v>4</v>
      </c>
      <c r="BV21" s="42">
        <f t="shared" si="46"/>
        <v>1</v>
      </c>
      <c r="BW21" s="43">
        <f t="shared" si="47"/>
        <v>4</v>
      </c>
      <c r="BX21" s="45" t="str">
        <f t="shared" si="48"/>
        <v>根木内ヤングスターズ</v>
      </c>
    </row>
    <row r="22" spans="1:76" ht="19.5" customHeight="1">
      <c r="A22" s="79" t="s">
        <v>95</v>
      </c>
      <c r="B22" s="36"/>
      <c r="C22" s="37">
        <v>8</v>
      </c>
      <c r="D22" s="37"/>
      <c r="E22" s="38">
        <v>9</v>
      </c>
      <c r="F22" s="36"/>
      <c r="G22" s="37">
        <v>6</v>
      </c>
      <c r="H22" s="37"/>
      <c r="I22" s="38">
        <v>8</v>
      </c>
      <c r="J22" s="36"/>
      <c r="K22" s="37"/>
      <c r="L22" s="37"/>
      <c r="M22" s="38"/>
      <c r="N22" s="36"/>
      <c r="O22" s="37">
        <v>1</v>
      </c>
      <c r="P22" s="37"/>
      <c r="Q22" s="38">
        <v>7</v>
      </c>
      <c r="R22" s="36"/>
      <c r="S22" s="37"/>
      <c r="T22" s="37"/>
      <c r="U22" s="38"/>
      <c r="V22" s="36"/>
      <c r="W22" s="37">
        <f>IF(U23="","",U23)</f>
      </c>
      <c r="X22" s="37"/>
      <c r="Y22" s="38">
        <f>IF(S23="","",S23)</f>
      </c>
      <c r="Z22" s="36"/>
      <c r="AA22" s="37">
        <f>IF(U24="","",U24)</f>
      </c>
      <c r="AB22" s="37"/>
      <c r="AC22" s="38">
        <f>IF(S24="","",S24)</f>
      </c>
      <c r="AD22" s="36"/>
      <c r="AE22" s="37">
        <f>IF(U25="","",U25)</f>
      </c>
      <c r="AF22" s="37"/>
      <c r="AG22" s="38">
        <f>IF(S25="","",S25)</f>
      </c>
      <c r="AH22" s="36"/>
      <c r="AI22" s="37">
        <f>IF(U26="","",U26)</f>
      </c>
      <c r="AJ22" s="37"/>
      <c r="AK22" s="38">
        <f>IF(S26="","",S26)</f>
      </c>
      <c r="AL22" s="36"/>
      <c r="AM22" s="37"/>
      <c r="AN22" s="37"/>
      <c r="AO22" s="38"/>
      <c r="AP22" s="36"/>
      <c r="AQ22" s="37">
        <f>IF(U28="","",U28)</f>
      </c>
      <c r="AR22" s="37"/>
      <c r="AS22" s="38">
        <f>IF(S28="","",S28)</f>
      </c>
      <c r="AT22" s="40">
        <f t="shared" si="24"/>
        <v>0</v>
      </c>
      <c r="AU22" s="30">
        <f t="shared" si="25"/>
        <v>3</v>
      </c>
      <c r="AV22" s="30">
        <f t="shared" si="26"/>
        <v>0</v>
      </c>
      <c r="AW22" s="31">
        <f t="shared" si="27"/>
        <v>0</v>
      </c>
      <c r="AX22" s="32">
        <f t="shared" si="28"/>
        <v>0</v>
      </c>
      <c r="AY22" s="33">
        <f t="shared" si="29"/>
        <v>0</v>
      </c>
      <c r="AZ22" s="34">
        <f t="shared" si="30"/>
        <v>0</v>
      </c>
      <c r="BA22" s="30">
        <f t="shared" si="31"/>
        <v>15</v>
      </c>
      <c r="BB22" s="30">
        <f t="shared" si="32"/>
        <v>24</v>
      </c>
      <c r="BC22" s="30">
        <f t="shared" si="33"/>
        <v>-9</v>
      </c>
      <c r="BF22" s="42">
        <f>BK22+COUNTIF(BK$17:BK21,BK22)</f>
        <v>6</v>
      </c>
      <c r="BG22" s="44" t="str">
        <f t="shared" si="34"/>
        <v>柏南・新柏ツィンズ</v>
      </c>
      <c r="BH22" s="42">
        <f t="shared" si="35"/>
        <v>0</v>
      </c>
      <c r="BI22" s="42">
        <f t="shared" si="36"/>
        <v>0</v>
      </c>
      <c r="BJ22" s="42">
        <f t="shared" si="37"/>
        <v>3</v>
      </c>
      <c r="BK22" s="42">
        <f t="shared" si="38"/>
        <v>6</v>
      </c>
      <c r="BL22" s="43">
        <f t="shared" si="39"/>
        <v>5</v>
      </c>
      <c r="BM22" s="45" t="str">
        <f t="shared" si="40"/>
        <v>リトルベアーズ</v>
      </c>
      <c r="BN22" s="45">
        <f t="shared" si="41"/>
        <v>2</v>
      </c>
      <c r="BO22" s="45">
        <f t="shared" si="42"/>
        <v>1</v>
      </c>
      <c r="BP22" s="45">
        <f t="shared" si="43"/>
        <v>3</v>
      </c>
      <c r="BQ22" s="55"/>
      <c r="BS22" s="42">
        <f>BV22+COUNTIF(BV$17:BV21,BV22)</f>
        <v>5</v>
      </c>
      <c r="BT22" s="44" t="str">
        <f t="shared" si="44"/>
        <v>柏南・新柏ツィンズ</v>
      </c>
      <c r="BU22" s="42">
        <f t="shared" si="45"/>
        <v>3</v>
      </c>
      <c r="BV22" s="42">
        <f t="shared" si="46"/>
        <v>4</v>
      </c>
      <c r="BW22" s="43">
        <f t="shared" si="47"/>
        <v>4</v>
      </c>
      <c r="BX22" s="45" t="str">
        <f t="shared" si="48"/>
        <v>柏南・新柏ツィンズ</v>
      </c>
    </row>
    <row r="23" spans="1:76" ht="19.5" customHeight="1">
      <c r="A23" s="79" t="s">
        <v>91</v>
      </c>
      <c r="B23" s="36"/>
      <c r="C23" s="37">
        <v>5</v>
      </c>
      <c r="D23" s="37"/>
      <c r="E23" s="38">
        <v>9</v>
      </c>
      <c r="F23" s="36"/>
      <c r="G23" s="37">
        <v>1</v>
      </c>
      <c r="H23" s="37"/>
      <c r="I23" s="38">
        <v>13</v>
      </c>
      <c r="J23" s="36"/>
      <c r="K23" s="37">
        <v>9</v>
      </c>
      <c r="L23" s="37"/>
      <c r="M23" s="38">
        <v>8</v>
      </c>
      <c r="N23" s="36"/>
      <c r="O23" s="37">
        <v>4</v>
      </c>
      <c r="P23" s="37"/>
      <c r="Q23" s="38">
        <v>4</v>
      </c>
      <c r="R23" s="36"/>
      <c r="S23" s="37"/>
      <c r="T23" s="37"/>
      <c r="U23" s="38"/>
      <c r="V23" s="36"/>
      <c r="W23" s="37"/>
      <c r="X23" s="37"/>
      <c r="Y23" s="38"/>
      <c r="Z23" s="36"/>
      <c r="AA23" s="37">
        <f>IF(Y24="","",Y24)</f>
      </c>
      <c r="AB23" s="37"/>
      <c r="AC23" s="38">
        <f>IF(W24="","",W24)</f>
      </c>
      <c r="AD23" s="36"/>
      <c r="AE23" s="37">
        <f>IF(Y25="","",Y25)</f>
      </c>
      <c r="AF23" s="37"/>
      <c r="AG23" s="38">
        <f>IF(W25="","",W25)</f>
      </c>
      <c r="AH23" s="36"/>
      <c r="AI23" s="37">
        <f>IF(Y26="","",Y26)</f>
      </c>
      <c r="AJ23" s="37"/>
      <c r="AK23" s="38">
        <f>IF(W26="","",W26)</f>
      </c>
      <c r="AL23" s="36"/>
      <c r="AM23" s="37"/>
      <c r="AN23" s="37"/>
      <c r="AO23" s="38"/>
      <c r="AP23" s="36"/>
      <c r="AQ23" s="37">
        <f>IF(Y28="","",Y28)</f>
      </c>
      <c r="AR23" s="37"/>
      <c r="AS23" s="38">
        <f>IF(W28="","",W28)</f>
      </c>
      <c r="AT23" s="40">
        <f t="shared" si="24"/>
        <v>1</v>
      </c>
      <c r="AU23" s="30">
        <f t="shared" si="25"/>
        <v>2</v>
      </c>
      <c r="AV23" s="30">
        <f t="shared" si="26"/>
        <v>1</v>
      </c>
      <c r="AW23" s="31">
        <f t="shared" si="27"/>
        <v>2</v>
      </c>
      <c r="AX23" s="32">
        <f t="shared" si="28"/>
        <v>0</v>
      </c>
      <c r="AY23" s="33">
        <f t="shared" si="29"/>
        <v>1</v>
      </c>
      <c r="AZ23" s="34">
        <f t="shared" si="30"/>
        <v>3</v>
      </c>
      <c r="BA23" s="30">
        <f t="shared" si="31"/>
        <v>19</v>
      </c>
      <c r="BB23" s="30">
        <f t="shared" si="32"/>
        <v>34</v>
      </c>
      <c r="BC23" s="30">
        <f t="shared" si="33"/>
        <v>-15</v>
      </c>
      <c r="BF23" s="42">
        <f>BK23+COUNTIF(BK$17:BK22,BK23)</f>
        <v>4</v>
      </c>
      <c r="BG23" s="44" t="str">
        <f t="shared" si="34"/>
        <v>リトルイーグルス</v>
      </c>
      <c r="BH23" s="42">
        <f t="shared" si="35"/>
        <v>3</v>
      </c>
      <c r="BI23" s="42">
        <f t="shared" si="36"/>
        <v>1</v>
      </c>
      <c r="BJ23" s="42">
        <f t="shared" si="37"/>
        <v>4</v>
      </c>
      <c r="BK23" s="42">
        <f t="shared" si="38"/>
        <v>4</v>
      </c>
      <c r="BL23" s="43">
        <f t="shared" si="39"/>
        <v>6</v>
      </c>
      <c r="BM23" s="45" t="str">
        <f t="shared" si="40"/>
        <v>柏南・新柏ツィンズ</v>
      </c>
      <c r="BN23" s="45">
        <f t="shared" si="41"/>
        <v>0</v>
      </c>
      <c r="BO23" s="45">
        <f t="shared" si="42"/>
        <v>0</v>
      </c>
      <c r="BP23" s="45">
        <f t="shared" si="43"/>
        <v>3</v>
      </c>
      <c r="BQ23" s="55"/>
      <c r="BS23" s="42">
        <f>BV23+COUNTIF(BV$17:BV22,BV23)</f>
        <v>3</v>
      </c>
      <c r="BT23" s="44" t="str">
        <f t="shared" si="44"/>
        <v>リトルイーグルス</v>
      </c>
      <c r="BU23" s="42">
        <f t="shared" si="45"/>
        <v>4</v>
      </c>
      <c r="BV23" s="42">
        <f t="shared" si="46"/>
        <v>1</v>
      </c>
      <c r="BW23" s="43">
        <f t="shared" si="47"/>
        <v>6</v>
      </c>
      <c r="BX23" s="45" t="str">
        <f t="shared" si="48"/>
        <v>リトルベアーズ</v>
      </c>
    </row>
    <row r="24" spans="1:76" ht="19.5" customHeight="1">
      <c r="A24" s="79"/>
      <c r="B24" s="36"/>
      <c r="C24" s="37"/>
      <c r="D24" s="37"/>
      <c r="E24" s="38"/>
      <c r="F24" s="36"/>
      <c r="G24" s="37"/>
      <c r="H24" s="37"/>
      <c r="I24" s="38"/>
      <c r="J24" s="36"/>
      <c r="K24" s="37"/>
      <c r="L24" s="37"/>
      <c r="M24" s="38"/>
      <c r="N24" s="36"/>
      <c r="O24" s="37"/>
      <c r="P24" s="37"/>
      <c r="Q24" s="38"/>
      <c r="R24" s="36"/>
      <c r="S24" s="37"/>
      <c r="T24" s="37"/>
      <c r="U24" s="38"/>
      <c r="V24" s="36"/>
      <c r="W24" s="37"/>
      <c r="X24" s="37"/>
      <c r="Y24" s="38"/>
      <c r="Z24" s="36"/>
      <c r="AA24" s="37"/>
      <c r="AB24" s="37"/>
      <c r="AC24" s="38"/>
      <c r="AD24" s="36"/>
      <c r="AE24" s="37">
        <f>IF(AC25="","",AC25)</f>
      </c>
      <c r="AF24" s="37"/>
      <c r="AG24" s="38">
        <f>IF(AA25="","",AA25)</f>
      </c>
      <c r="AH24" s="36"/>
      <c r="AI24" s="37">
        <f>IF(AC26="","",AC26)</f>
      </c>
      <c r="AJ24" s="37"/>
      <c r="AK24" s="38">
        <f>IF(AA26="","",AA26)</f>
      </c>
      <c r="AL24" s="36"/>
      <c r="AM24" s="37"/>
      <c r="AN24" s="37"/>
      <c r="AO24" s="38"/>
      <c r="AP24" s="36"/>
      <c r="AQ24" s="37">
        <f>IF(AC28="","",AC28)</f>
      </c>
      <c r="AR24" s="37"/>
      <c r="AS24" s="38">
        <f>IF(AA28="","",AA28)</f>
      </c>
      <c r="AT24" s="40">
        <f t="shared" si="24"/>
        <v>0</v>
      </c>
      <c r="AU24" s="30">
        <f t="shared" si="25"/>
        <v>0</v>
      </c>
      <c r="AV24" s="30">
        <f t="shared" si="26"/>
        <v>0</v>
      </c>
      <c r="AW24" s="31">
        <f t="shared" si="27"/>
        <v>0</v>
      </c>
      <c r="AX24" s="32">
        <f t="shared" si="28"/>
        <v>0</v>
      </c>
      <c r="AY24" s="33">
        <f t="shared" si="29"/>
        <v>0</v>
      </c>
      <c r="AZ24" s="34">
        <f t="shared" si="30"/>
        <v>0</v>
      </c>
      <c r="BA24" s="30">
        <f t="shared" si="31"/>
        <v>0</v>
      </c>
      <c r="BB24" s="30">
        <f t="shared" si="32"/>
        <v>0</v>
      </c>
      <c r="BC24" s="30">
        <f t="shared" si="33"/>
        <v>0</v>
      </c>
      <c r="BF24" s="42"/>
      <c r="BG24" s="44"/>
      <c r="BH24" s="42"/>
      <c r="BI24" s="42"/>
      <c r="BJ24" s="42"/>
      <c r="BK24" s="42"/>
      <c r="BL24" s="43"/>
      <c r="BM24" s="45"/>
      <c r="BN24" s="45"/>
      <c r="BO24" s="45"/>
      <c r="BP24" s="45"/>
      <c r="BQ24" s="55"/>
      <c r="BS24" s="42"/>
      <c r="BT24" s="44"/>
      <c r="BU24" s="42"/>
      <c r="BV24" s="42"/>
      <c r="BW24" s="43"/>
      <c r="BX24" s="45"/>
    </row>
    <row r="25" spans="1:76" ht="19.5" customHeight="1">
      <c r="A25" s="79"/>
      <c r="B25" s="36"/>
      <c r="C25" s="37"/>
      <c r="D25" s="37"/>
      <c r="E25" s="38"/>
      <c r="F25" s="36"/>
      <c r="G25" s="37"/>
      <c r="H25" s="37"/>
      <c r="I25" s="38"/>
      <c r="J25" s="36"/>
      <c r="K25" s="37"/>
      <c r="L25" s="37"/>
      <c r="M25" s="38"/>
      <c r="N25" s="36"/>
      <c r="O25" s="37"/>
      <c r="P25" s="37"/>
      <c r="Q25" s="38"/>
      <c r="R25" s="36"/>
      <c r="S25" s="37"/>
      <c r="T25" s="37"/>
      <c r="U25" s="38"/>
      <c r="V25" s="36"/>
      <c r="W25" s="37"/>
      <c r="X25" s="37"/>
      <c r="Y25" s="38"/>
      <c r="Z25" s="36"/>
      <c r="AA25" s="37"/>
      <c r="AB25" s="37"/>
      <c r="AC25" s="38"/>
      <c r="AD25" s="36"/>
      <c r="AE25" s="37"/>
      <c r="AF25" s="37"/>
      <c r="AG25" s="38"/>
      <c r="AH25" s="36"/>
      <c r="AI25" s="37">
        <f>IF(AG26="","",AG26)</f>
      </c>
      <c r="AJ25" s="37"/>
      <c r="AK25" s="38">
        <f>IF(AE26="","",AE26)</f>
      </c>
      <c r="AL25" s="36"/>
      <c r="AM25" s="37"/>
      <c r="AN25" s="37"/>
      <c r="AO25" s="38"/>
      <c r="AP25" s="36"/>
      <c r="AQ25" s="37">
        <f>IF(AG28="","",AG28)</f>
      </c>
      <c r="AR25" s="37"/>
      <c r="AS25" s="38">
        <f>IF(AE28="","",AE28)</f>
      </c>
      <c r="AT25" s="40">
        <f t="shared" si="24"/>
        <v>0</v>
      </c>
      <c r="AU25" s="30">
        <f t="shared" si="25"/>
        <v>0</v>
      </c>
      <c r="AV25" s="30">
        <f t="shared" si="26"/>
        <v>0</v>
      </c>
      <c r="AW25" s="31">
        <f>AT25*2</f>
        <v>0</v>
      </c>
      <c r="AX25" s="32">
        <f>AU25*0</f>
        <v>0</v>
      </c>
      <c r="AY25" s="33">
        <f>AV25*1</f>
        <v>0</v>
      </c>
      <c r="AZ25" s="34">
        <f>AW25+AX25+AY25</f>
        <v>0</v>
      </c>
      <c r="BA25" s="30">
        <f>IF(ISNUMBER(G25),G25,0)+IF(ISNUMBER(K25),K25,0)+IF(ISNUMBER(O25),O25,0)+IF(ISNUMBER(AA25),AA25,0)+IF(ISNUMBER(AE25),AE25,0)+IF(ISNUMBER(AM25),AM25,0)+IF(ISNUMBER(S25),S25,0)+IF(ISNUMBER(W25),W25,0)+IF(ISNUMBER(C25),C25,0)+IF(ISNUMBER(AQ25),AQ25,0)+IF(ISNUMBER(AI25),AI25,0)</f>
        <v>0</v>
      </c>
      <c r="BB25" s="30">
        <f>IF(ISNUMBER(I25),I25,0)+IF(ISNUMBER(M25),M25,0)+IF(ISNUMBER(Q25),Q25,0)+IF(ISNUMBER(AC25),AC25,0)+IF(ISNUMBER(AG25),AG25,0)+IF(ISNUMBER(AO25),AO25,0)+IF(ISNUMBER(U25),U25,0)+IF(ISNUMBER(Y25),Y25,0)+IF(ISNUMBER(E25),E25,0)+IF(ISNUMBER(AS25),AS25,0)+IF(ISNUMBER(AK25),AK25,0)</f>
        <v>0</v>
      </c>
      <c r="BC25" s="30">
        <f>BA25-BB25</f>
        <v>0</v>
      </c>
      <c r="BF25" s="42"/>
      <c r="BG25" s="44"/>
      <c r="BH25" s="42"/>
      <c r="BI25" s="42"/>
      <c r="BJ25" s="42"/>
      <c r="BK25" s="42"/>
      <c r="BL25" s="43"/>
      <c r="BM25" s="45"/>
      <c r="BN25" s="45"/>
      <c r="BO25" s="45"/>
      <c r="BP25" s="45"/>
      <c r="BQ25" s="55"/>
      <c r="BS25" s="42"/>
      <c r="BT25" s="44"/>
      <c r="BU25" s="42"/>
      <c r="BV25" s="42"/>
      <c r="BW25" s="43"/>
      <c r="BX25" s="45"/>
    </row>
    <row r="26" spans="1:76" ht="19.5" customHeight="1">
      <c r="A26" s="79"/>
      <c r="B26" s="36"/>
      <c r="C26" s="37"/>
      <c r="D26" s="37"/>
      <c r="E26" s="38"/>
      <c r="F26" s="36"/>
      <c r="G26" s="37"/>
      <c r="H26" s="37"/>
      <c r="I26" s="38"/>
      <c r="J26" s="36"/>
      <c r="K26" s="37"/>
      <c r="L26" s="37"/>
      <c r="M26" s="38"/>
      <c r="N26" s="36"/>
      <c r="O26" s="37"/>
      <c r="P26" s="37"/>
      <c r="Q26" s="38"/>
      <c r="R26" s="36"/>
      <c r="S26" s="37"/>
      <c r="T26" s="37"/>
      <c r="U26" s="38"/>
      <c r="V26" s="36"/>
      <c r="W26" s="37"/>
      <c r="X26" s="37"/>
      <c r="Y26" s="38"/>
      <c r="Z26" s="36"/>
      <c r="AA26" s="37"/>
      <c r="AB26" s="37"/>
      <c r="AC26" s="38"/>
      <c r="AD26" s="36"/>
      <c r="AE26" s="37"/>
      <c r="AF26" s="37"/>
      <c r="AG26" s="38"/>
      <c r="AH26" s="37"/>
      <c r="AI26" s="37"/>
      <c r="AJ26" s="37"/>
      <c r="AK26" s="37"/>
      <c r="AL26" s="36"/>
      <c r="AM26" s="37">
        <f>IF(AK27="","",AK27)</f>
      </c>
      <c r="AN26" s="37"/>
      <c r="AO26" s="38">
        <f>IF(AI27="","",AI27)</f>
      </c>
      <c r="AP26" s="36"/>
      <c r="AQ26" s="37">
        <f>IF(AK28="","",AK28)</f>
      </c>
      <c r="AR26" s="37"/>
      <c r="AS26" s="38">
        <f>IF(AI28="","",AI28)</f>
      </c>
      <c r="AT26" s="40"/>
      <c r="AU26" s="30"/>
      <c r="AV26" s="30"/>
      <c r="AW26" s="31"/>
      <c r="AX26" s="32"/>
      <c r="AY26" s="33"/>
      <c r="AZ26" s="34"/>
      <c r="BA26" s="30"/>
      <c r="BB26" s="30"/>
      <c r="BC26" s="30"/>
      <c r="BF26" s="42"/>
      <c r="BG26" s="44"/>
      <c r="BH26" s="42"/>
      <c r="BI26" s="42"/>
      <c r="BJ26" s="42"/>
      <c r="BK26" s="42"/>
      <c r="BL26" s="43"/>
      <c r="BM26" s="45"/>
      <c r="BN26" s="45"/>
      <c r="BO26" s="45"/>
      <c r="BP26" s="45"/>
      <c r="BQ26" s="55"/>
      <c r="BS26" s="42"/>
      <c r="BT26" s="44"/>
      <c r="BU26" s="42"/>
      <c r="BV26" s="42"/>
      <c r="BW26" s="43"/>
      <c r="BX26" s="45"/>
    </row>
    <row r="27" spans="1:76" ht="19.5" customHeight="1">
      <c r="A27" s="79"/>
      <c r="B27" s="36"/>
      <c r="C27" s="37"/>
      <c r="D27" s="37"/>
      <c r="E27" s="38"/>
      <c r="F27" s="36"/>
      <c r="G27" s="37"/>
      <c r="H27" s="37"/>
      <c r="I27" s="38"/>
      <c r="J27" s="36"/>
      <c r="K27" s="37"/>
      <c r="L27" s="37"/>
      <c r="M27" s="38"/>
      <c r="N27" s="36"/>
      <c r="O27" s="37"/>
      <c r="P27" s="37"/>
      <c r="Q27" s="38"/>
      <c r="R27" s="36"/>
      <c r="S27" s="37"/>
      <c r="T27" s="37"/>
      <c r="U27" s="38"/>
      <c r="V27" s="36"/>
      <c r="W27" s="37"/>
      <c r="X27" s="37"/>
      <c r="Y27" s="38"/>
      <c r="Z27" s="36"/>
      <c r="AA27" s="37"/>
      <c r="AB27" s="37"/>
      <c r="AC27" s="38"/>
      <c r="AD27" s="36"/>
      <c r="AE27" s="37"/>
      <c r="AF27" s="37"/>
      <c r="AG27" s="38"/>
      <c r="AH27" s="37"/>
      <c r="AI27" s="37"/>
      <c r="AJ27" s="37"/>
      <c r="AK27" s="38"/>
      <c r="AL27" s="36"/>
      <c r="AM27" s="37"/>
      <c r="AN27" s="37"/>
      <c r="AO27" s="38"/>
      <c r="AP27" s="36"/>
      <c r="AQ27" s="37">
        <f>IF(AO28="","",AO28)</f>
      </c>
      <c r="AR27" s="37"/>
      <c r="AS27" s="38">
        <f>IF(AM28="","",AM28)</f>
      </c>
      <c r="AT27" s="40"/>
      <c r="AU27" s="30"/>
      <c r="AV27" s="30"/>
      <c r="AW27" s="31"/>
      <c r="AX27" s="32"/>
      <c r="AY27" s="33"/>
      <c r="AZ27" s="34"/>
      <c r="BA27" s="30"/>
      <c r="BB27" s="30"/>
      <c r="BC27" s="30"/>
      <c r="BF27" s="42"/>
      <c r="BG27" s="44"/>
      <c r="BH27" s="42"/>
      <c r="BI27" s="42"/>
      <c r="BJ27" s="42"/>
      <c r="BK27" s="42"/>
      <c r="BL27" s="43"/>
      <c r="BM27" s="45"/>
      <c r="BN27" s="45"/>
      <c r="BO27" s="45"/>
      <c r="BP27" s="45"/>
      <c r="BQ27" s="55"/>
      <c r="BS27" s="42"/>
      <c r="BT27" s="44"/>
      <c r="BU27" s="42"/>
      <c r="BV27" s="42"/>
      <c r="BW27" s="43"/>
      <c r="BX27" s="45"/>
    </row>
    <row r="28" spans="1:76" ht="19.5" customHeight="1">
      <c r="A28" s="69"/>
      <c r="B28" s="36"/>
      <c r="C28" s="37"/>
      <c r="D28" s="37"/>
      <c r="E28" s="38"/>
      <c r="F28" s="36"/>
      <c r="G28" s="37"/>
      <c r="H28" s="37"/>
      <c r="I28" s="38"/>
      <c r="J28" s="36"/>
      <c r="K28" s="37"/>
      <c r="L28" s="37"/>
      <c r="M28" s="38"/>
      <c r="N28" s="36"/>
      <c r="O28" s="37"/>
      <c r="P28" s="37"/>
      <c r="Q28" s="38"/>
      <c r="R28" s="36"/>
      <c r="S28" s="37"/>
      <c r="T28" s="37"/>
      <c r="U28" s="38"/>
      <c r="V28" s="36"/>
      <c r="W28" s="37"/>
      <c r="X28" s="37"/>
      <c r="Y28" s="38"/>
      <c r="Z28" s="36"/>
      <c r="AA28" s="37"/>
      <c r="AB28" s="37"/>
      <c r="AC28" s="38"/>
      <c r="AD28" s="36"/>
      <c r="AE28" s="37"/>
      <c r="AF28" s="37"/>
      <c r="AG28" s="38"/>
      <c r="AH28" s="37"/>
      <c r="AI28" s="37"/>
      <c r="AJ28" s="37"/>
      <c r="AK28" s="37"/>
      <c r="AL28" s="36"/>
      <c r="AM28" s="37"/>
      <c r="AN28" s="37"/>
      <c r="AO28" s="38"/>
      <c r="AP28" s="36"/>
      <c r="AQ28" s="37"/>
      <c r="AR28" s="37"/>
      <c r="AS28" s="38"/>
      <c r="AT28" s="40"/>
      <c r="AU28" s="30"/>
      <c r="AV28" s="30"/>
      <c r="AW28" s="31"/>
      <c r="AX28" s="32"/>
      <c r="AY28" s="33"/>
      <c r="AZ28" s="34"/>
      <c r="BA28" s="30"/>
      <c r="BB28" s="30"/>
      <c r="BC28" s="30"/>
      <c r="BF28" s="42"/>
      <c r="BG28" s="44"/>
      <c r="BH28" s="42"/>
      <c r="BI28" s="42"/>
      <c r="BJ28" s="42"/>
      <c r="BK28" s="42"/>
      <c r="BL28" s="43"/>
      <c r="BM28" s="45"/>
      <c r="BN28" s="45"/>
      <c r="BO28" s="45"/>
      <c r="BP28" s="45"/>
      <c r="BQ28" s="55"/>
      <c r="BS28" s="42"/>
      <c r="BT28" s="44"/>
      <c r="BU28" s="42"/>
      <c r="BV28" s="42"/>
      <c r="BW28" s="43"/>
      <c r="BX28" s="45"/>
    </row>
    <row r="29" spans="1:74" ht="19.5" customHeight="1">
      <c r="A29" s="7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8"/>
      <c r="AO29" s="1"/>
      <c r="AP29" s="1"/>
      <c r="AQ29" s="1"/>
      <c r="AR29" s="1"/>
      <c r="AS29" s="1"/>
      <c r="AT29" s="6">
        <f>SUM(AT18:AT28)</f>
        <v>11</v>
      </c>
      <c r="AU29" s="6">
        <f>SUM(AU18:AU28)</f>
        <v>11</v>
      </c>
      <c r="AV29" s="6">
        <f>SUM(AV18:AV28)</f>
        <v>2</v>
      </c>
      <c r="AW29" s="6"/>
      <c r="AX29" s="6"/>
      <c r="AY29" s="1"/>
      <c r="AZ29" s="1"/>
      <c r="BA29" s="1">
        <f>SUM(BA18:BA28)</f>
        <v>168</v>
      </c>
      <c r="BB29" s="1">
        <f>SUM(BB18:BB28)</f>
        <v>168</v>
      </c>
      <c r="BC29" s="1">
        <f>SUM(BC18:BC28)</f>
        <v>0</v>
      </c>
      <c r="BU29" s="53">
        <f>SUM(BU18:BU28)/2</f>
        <v>10</v>
      </c>
      <c r="BV29" s="3">
        <f>5*4/2</f>
        <v>10</v>
      </c>
    </row>
    <row r="30" spans="1:55" ht="19.5" customHeight="1">
      <c r="A30" s="78" t="s">
        <v>55</v>
      </c>
      <c r="B30" s="73" t="s">
        <v>53</v>
      </c>
      <c r="C30" s="51"/>
      <c r="D30" s="51"/>
      <c r="E30" s="51"/>
      <c r="F30" s="51"/>
      <c r="G30" s="171" t="str">
        <f>"１日"&amp;ROUND((BV43-BU43)/'戦績'!N42,1)&amp;"試合"</f>
        <v>１日0試合</v>
      </c>
      <c r="H30" s="171"/>
      <c r="I30" s="171"/>
      <c r="J30" s="171"/>
      <c r="K30" s="163" t="s">
        <v>20</v>
      </c>
      <c r="L30" s="163"/>
      <c r="M30" s="163"/>
      <c r="N30" s="163"/>
      <c r="O30" s="165" t="str">
        <f>IF(C71&gt;C70,+BM32,"")</f>
        <v>木刈ファイターズ</v>
      </c>
      <c r="P30" s="165"/>
      <c r="Q30" s="165"/>
      <c r="R30" s="165"/>
      <c r="S30" s="165"/>
      <c r="T30" s="52"/>
      <c r="U30" s="163" t="s">
        <v>21</v>
      </c>
      <c r="V30" s="163"/>
      <c r="W30" s="163"/>
      <c r="X30" s="163"/>
      <c r="Y30" s="165" t="str">
        <f>IF(C71&gt;C70,+BM33,"")</f>
        <v>高塚新田ラークス</v>
      </c>
      <c r="Z30" s="165"/>
      <c r="AA30" s="165"/>
      <c r="AB30" s="165"/>
      <c r="AC30" s="165"/>
      <c r="AD30" s="165"/>
      <c r="AE30" s="54" t="s">
        <v>26</v>
      </c>
      <c r="AF30" s="1"/>
      <c r="AG30" s="1"/>
      <c r="AH30" s="1"/>
      <c r="AI30" s="1"/>
      <c r="AJ30" s="1"/>
      <c r="AK30" s="1"/>
      <c r="AL30" s="1"/>
      <c r="AM30" s="1"/>
      <c r="AN30" s="54" t="s">
        <v>26</v>
      </c>
      <c r="AO30" s="1"/>
      <c r="AP30" s="1"/>
      <c r="AQ30" s="1"/>
      <c r="AR30" s="169">
        <f>+BU43/(MAX(BF32:BF41)*(MAX(BF32:BF41)-1)/2)</f>
        <v>0.9333333333333333</v>
      </c>
      <c r="AS30" s="169"/>
      <c r="AT30" s="60">
        <f>IF(AT29=AU29,"","計算間違い")</f>
      </c>
      <c r="AU30" s="1"/>
      <c r="AV30" s="1"/>
      <c r="AW30" s="1" t="s">
        <v>14</v>
      </c>
      <c r="AX30" s="1" t="s">
        <v>15</v>
      </c>
      <c r="AY30" s="1" t="s">
        <v>16</v>
      </c>
      <c r="AZ30" s="1"/>
      <c r="BA30" s="1"/>
      <c r="BB30" s="1"/>
      <c r="BC30" s="1"/>
    </row>
    <row r="31" spans="1:73" ht="19.5" customHeight="1">
      <c r="A31" s="102"/>
      <c r="B31" s="166" t="str">
        <f>+A32</f>
        <v>常盤平ボーイズ</v>
      </c>
      <c r="C31" s="167"/>
      <c r="D31" s="167"/>
      <c r="E31" s="168"/>
      <c r="F31" s="166" t="str">
        <f>+A33</f>
        <v>野菊野ファイターズ</v>
      </c>
      <c r="G31" s="167"/>
      <c r="H31" s="167"/>
      <c r="I31" s="168"/>
      <c r="J31" s="166" t="str">
        <f>+A34</f>
        <v>高塚新田ラークス</v>
      </c>
      <c r="K31" s="167"/>
      <c r="L31" s="167"/>
      <c r="M31" s="168"/>
      <c r="N31" s="166" t="str">
        <f>+A35</f>
        <v>柏ヤンガーズ</v>
      </c>
      <c r="O31" s="167"/>
      <c r="P31" s="167"/>
      <c r="Q31" s="168"/>
      <c r="R31" s="166" t="str">
        <f>+A36</f>
        <v>光ヶ丘シャークス</v>
      </c>
      <c r="S31" s="167"/>
      <c r="T31" s="167"/>
      <c r="U31" s="168"/>
      <c r="V31" s="166" t="str">
        <f>+A37</f>
        <v>木刈ファイターズ</v>
      </c>
      <c r="W31" s="167"/>
      <c r="X31" s="167"/>
      <c r="Y31" s="168"/>
      <c r="Z31" s="166"/>
      <c r="AA31" s="167"/>
      <c r="AB31" s="167"/>
      <c r="AC31" s="168"/>
      <c r="AD31" s="166"/>
      <c r="AE31" s="167"/>
      <c r="AF31" s="167"/>
      <c r="AG31" s="168"/>
      <c r="AH31" s="166"/>
      <c r="AI31" s="167"/>
      <c r="AJ31" s="167"/>
      <c r="AK31" s="168"/>
      <c r="AL31" s="166"/>
      <c r="AM31" s="167"/>
      <c r="AN31" s="167"/>
      <c r="AO31" s="168"/>
      <c r="AP31" s="164"/>
      <c r="AQ31" s="164"/>
      <c r="AR31" s="164"/>
      <c r="AS31" s="164"/>
      <c r="AT31" s="25" t="s">
        <v>4</v>
      </c>
      <c r="AU31" s="25" t="s">
        <v>5</v>
      </c>
      <c r="AV31" s="25" t="s">
        <v>6</v>
      </c>
      <c r="AW31" s="26" t="s">
        <v>11</v>
      </c>
      <c r="AX31" s="27" t="s">
        <v>12</v>
      </c>
      <c r="AY31" s="28" t="s">
        <v>13</v>
      </c>
      <c r="AZ31" s="29" t="s">
        <v>7</v>
      </c>
      <c r="BA31" s="25" t="s">
        <v>8</v>
      </c>
      <c r="BB31" s="25" t="s">
        <v>9</v>
      </c>
      <c r="BC31" s="25" t="s">
        <v>10</v>
      </c>
      <c r="BF31" s="41"/>
      <c r="BG31" s="41" t="s">
        <v>17</v>
      </c>
      <c r="BH31" s="41" t="s">
        <v>18</v>
      </c>
      <c r="BI31" s="41"/>
      <c r="BJ31" s="41"/>
      <c r="BK31" s="41"/>
      <c r="BL31" s="41"/>
      <c r="BT31" s="3" t="s">
        <v>17</v>
      </c>
      <c r="BU31" s="3" t="s">
        <v>19</v>
      </c>
    </row>
    <row r="32" spans="1:76" ht="19.5" customHeight="1">
      <c r="A32" s="79" t="s">
        <v>96</v>
      </c>
      <c r="B32" s="37"/>
      <c r="C32" s="37"/>
      <c r="D32" s="37"/>
      <c r="E32" s="38"/>
      <c r="F32" s="36"/>
      <c r="G32" s="37">
        <f>IF(E33="","",E33)</f>
        <v>10</v>
      </c>
      <c r="H32" s="37"/>
      <c r="I32" s="38">
        <f>IF(C33="","",C33)</f>
        <v>9</v>
      </c>
      <c r="J32" s="36"/>
      <c r="K32" s="37">
        <f>IF(E34="","",E34)</f>
        <v>3</v>
      </c>
      <c r="L32" s="37"/>
      <c r="M32" s="38">
        <f>IF(C34="","",C34)</f>
        <v>6</v>
      </c>
      <c r="N32" s="36"/>
      <c r="O32" s="37">
        <f>IF(E35="","",E35)</f>
        <v>0</v>
      </c>
      <c r="P32" s="37"/>
      <c r="Q32" s="38">
        <f>IF(C35="","",C35)</f>
        <v>20</v>
      </c>
      <c r="R32" s="36"/>
      <c r="S32" s="37">
        <f>IF(E36="","",E36)</f>
        <v>6</v>
      </c>
      <c r="T32" s="37"/>
      <c r="U32" s="38">
        <f>IF(C36="","",C36)</f>
        <v>0</v>
      </c>
      <c r="V32" s="36"/>
      <c r="W32" s="37">
        <f>IF(E37="","",E37)</f>
        <v>8</v>
      </c>
      <c r="X32" s="37"/>
      <c r="Y32" s="38">
        <f>IF(C37="","",C37)</f>
        <v>9</v>
      </c>
      <c r="Z32" s="36"/>
      <c r="AA32" s="37">
        <f>IF(E38="","",E38)</f>
      </c>
      <c r="AB32" s="37"/>
      <c r="AC32" s="38">
        <f>IF(C38="","",C38)</f>
      </c>
      <c r="AD32" s="36"/>
      <c r="AE32" s="37">
        <f>IF(E39="","",E39)</f>
      </c>
      <c r="AF32" s="37"/>
      <c r="AG32" s="38">
        <f>IF(C39="","",C39)</f>
      </c>
      <c r="AH32" s="36"/>
      <c r="AI32" s="37">
        <f>IF(E40="","",E40)</f>
      </c>
      <c r="AJ32" s="37"/>
      <c r="AK32" s="38">
        <f>IF(C40="","",C40)</f>
      </c>
      <c r="AL32" s="36"/>
      <c r="AM32" s="37">
        <f>IF(E41="","",E41)</f>
      </c>
      <c r="AN32" s="37"/>
      <c r="AO32" s="38">
        <f>IF(C41="","",C41)</f>
      </c>
      <c r="AP32" s="36"/>
      <c r="AQ32" s="37">
        <f>IF(E42="","",E42)</f>
      </c>
      <c r="AR32" s="37"/>
      <c r="AS32" s="38">
        <f>IF(C42="","",C42)</f>
      </c>
      <c r="AT32" s="40">
        <f aca="true" t="shared" si="49" ref="AT32:AT37">IF(C32&gt;E32,1,0)+IF(G32&gt;I32,1,0)+IF(K32&gt;M32,1,0)+IF(O32&gt;Q32,1,0)+IF(S32&gt;U32,1,0)+IF(W32&gt;Y32,1,0)+IF(AA32&gt;AC32,1,0)+IF(AE32&gt;AG32,1,0)+IF(AM32&gt;AO32,1,0)+IF(AQ32&gt;AS32,1,0)+IF(AI32&gt;AK32,1,0)</f>
        <v>2</v>
      </c>
      <c r="AU32" s="30">
        <f aca="true" t="shared" si="50" ref="AU32:AU37">IF(C32&lt;E32,1,0)+IF(G32&lt;I32,1,0)+IF(K32&lt;M32,1,0)+IF(O32&lt;Q32,1,0)+IF(S32&lt;U32,1,0)+IF(W32&lt;Y32,1,0)+IF(AA32&lt;AC32,1,0)+IF(AE32&lt;AG32,1,0)+IF(AM32&lt;AO32,1,0)+IF(AQ32&lt;AS32,1,0)+IF(AI32&lt;AK32,1,0)</f>
        <v>3</v>
      </c>
      <c r="AV32" s="30">
        <f aca="true" t="shared" si="51" ref="AV32:AV37">IF(AND(ISNUMBER(C32),C32=E32),1,0)+IF(AND(ISNUMBER(G32),G32=I32),1,0)+IF(AND(ISNUMBER(K32),K32=M32),1,)+IF(AND(ISNUMBER(O32),O32=Q32),1,0)+IF(AND(ISNUMBER(S32),S32=U32),1,0)+IF(AND(ISNUMBER(W32),W32=Y32),1,0)+IF(AND(ISNUMBER(AA32),AA32=AC32),1,0)+IF(AND(ISNUMBER(AE32),AE32=AG32),1,0)+IF(AND(ISNUMBER(AM32),AM32=AO32),1,0)+IF(AND(ISNUMBER(AQ32),AQ32=AS32),1,0)+IF(AND(ISNUMBER(AI32),AI32=AK32),1,0)</f>
        <v>0</v>
      </c>
      <c r="AW32" s="31">
        <f aca="true" t="shared" si="52" ref="AW32:AW37">AT32*2</f>
        <v>4</v>
      </c>
      <c r="AX32" s="32">
        <f aca="true" t="shared" si="53" ref="AX32:AX37">AU32*0</f>
        <v>0</v>
      </c>
      <c r="AY32" s="33">
        <f aca="true" t="shared" si="54" ref="AY32:AY37">AV32*1</f>
        <v>0</v>
      </c>
      <c r="AZ32" s="34">
        <f aca="true" t="shared" si="55" ref="AZ32:AZ37">AW32+AX32+AY32</f>
        <v>4</v>
      </c>
      <c r="BA32" s="30">
        <f aca="true" t="shared" si="56" ref="BA32:BA37">IF(ISNUMBER(G32),G32,0)+IF(ISNUMBER(K32),K32,0)+IF(ISNUMBER(O32),O32,0)+IF(ISNUMBER(AA32),AA32,0)+IF(ISNUMBER(AE32),AE32,0)+IF(ISNUMBER(AM32),AM32,0)+IF(ISNUMBER(S32),S32,0)+IF(ISNUMBER(W32),W32,0)+IF(ISNUMBER(C32),C32,0)+IF(ISNUMBER(AQ32),AQ32,0)+IF(ISNUMBER(AI32),AI32,0)</f>
        <v>27</v>
      </c>
      <c r="BB32" s="30">
        <f aca="true" t="shared" si="57" ref="BB32:BB37">IF(ISNUMBER(I32),I32,0)+IF(ISNUMBER(M32),M32,0)+IF(ISNUMBER(Q32),Q32,0)+IF(ISNUMBER(AC32),AC32,0)+IF(ISNUMBER(AG32),AG32,0)+IF(ISNUMBER(AO32),AO32,0)+IF(ISNUMBER(U32),U32,0)+IF(ISNUMBER(Y32),Y32,0)+IF(ISNUMBER(E32),E32,0)+IF(ISNUMBER(AS32),AS32,0)+IF(ISNUMBER(AK32),AK32,0)</f>
        <v>44</v>
      </c>
      <c r="BC32" s="30">
        <f aca="true" t="shared" si="58" ref="BC32:BC37">BA32-BB32</f>
        <v>-17</v>
      </c>
      <c r="BF32" s="42">
        <f>BK32+COUNTIF(BK$31:BK31,BK32)</f>
        <v>4</v>
      </c>
      <c r="BG32" s="44" t="str">
        <f aca="true" t="shared" si="59" ref="BG32:BG37">+A32</f>
        <v>常盤平ボーイズ</v>
      </c>
      <c r="BH32" s="42">
        <f aca="true" t="shared" si="60" ref="BH32:BH37">+AZ32</f>
        <v>4</v>
      </c>
      <c r="BI32" s="42">
        <f aca="true" t="shared" si="61" ref="BI32:BI37">+AT32</f>
        <v>2</v>
      </c>
      <c r="BJ32" s="42">
        <f aca="true" t="shared" si="62" ref="BJ32:BJ37">+AT32+AU32+AV32</f>
        <v>5</v>
      </c>
      <c r="BK32" s="42">
        <f aca="true" t="shared" si="63" ref="BK32:BK37">RANK(BH32,BH$32:BH$37)</f>
        <v>4</v>
      </c>
      <c r="BL32" s="43">
        <f aca="true" t="shared" si="64" ref="BL32:BL37">VLOOKUP(ROW(BF1),$BF$32:$BK$37,6,FALSE)</f>
        <v>1</v>
      </c>
      <c r="BM32" s="45" t="str">
        <f aca="true" t="shared" si="65" ref="BM32:BM37">VLOOKUP(ROW(BF1),$BF$32:$BK$37,2,FALSE)</f>
        <v>木刈ファイターズ</v>
      </c>
      <c r="BN32" s="45">
        <f aca="true" t="shared" si="66" ref="BN32:BN37">VLOOKUP(ROW(BF1),$BF$32:$BK$37,3,FALSE)</f>
        <v>7</v>
      </c>
      <c r="BO32" s="45">
        <f aca="true" t="shared" si="67" ref="BO32:BO37">VLOOKUP(ROW(BF1),$BF$32:$BK$37,4,FALSE)</f>
        <v>3</v>
      </c>
      <c r="BP32" s="45">
        <f aca="true" t="shared" si="68" ref="BP32:BP37">VLOOKUP(ROW(BF1),$BF$32:$BK$37,5,FALSE)</f>
        <v>5</v>
      </c>
      <c r="BQ32" s="55"/>
      <c r="BS32" s="42">
        <f>BV32+COUNTIF(BV$31:BV31,BV32)</f>
        <v>1</v>
      </c>
      <c r="BT32" s="44" t="str">
        <f aca="true" t="shared" si="69" ref="BT32:BT37">+BG32</f>
        <v>常盤平ボーイズ</v>
      </c>
      <c r="BU32" s="42">
        <f aca="true" t="shared" si="70" ref="BU32:BU37">COUNT(B32:AK32)/2</f>
        <v>5</v>
      </c>
      <c r="BV32" s="42">
        <f aca="true" t="shared" si="71" ref="BV32:BV37">RANK(BU32,BU$32:BU$37)</f>
        <v>1</v>
      </c>
      <c r="BW32" s="43">
        <f aca="true" t="shared" si="72" ref="BW32:BW37">VLOOKUP(ROW(BS1),$BS$32:$BV$37,4,FALSE)</f>
        <v>1</v>
      </c>
      <c r="BX32" s="45" t="str">
        <f aca="true" t="shared" si="73" ref="BX32:BX37">VLOOKUP(ROW(BT1),$BS$32:$BV$37,2,FALSE)</f>
        <v>常盤平ボーイズ</v>
      </c>
    </row>
    <row r="33" spans="1:76" ht="19.5" customHeight="1">
      <c r="A33" s="79" t="s">
        <v>66</v>
      </c>
      <c r="B33" s="36"/>
      <c r="C33" s="37">
        <v>9</v>
      </c>
      <c r="D33" s="37"/>
      <c r="E33" s="38">
        <v>10</v>
      </c>
      <c r="F33" s="36"/>
      <c r="G33" s="37"/>
      <c r="H33" s="37"/>
      <c r="I33" s="38"/>
      <c r="J33" s="36"/>
      <c r="K33" s="37">
        <f>IF(I34="","",I34)</f>
        <v>8</v>
      </c>
      <c r="L33" s="37"/>
      <c r="M33" s="38">
        <f>IF(G34="","",G34)</f>
        <v>10</v>
      </c>
      <c r="N33" s="36"/>
      <c r="O33" s="37">
        <f>IF(I35="","",I35)</f>
        <v>8</v>
      </c>
      <c r="P33" s="37"/>
      <c r="Q33" s="38">
        <f>IF(G35="","",G35)</f>
        <v>7</v>
      </c>
      <c r="R33" s="36"/>
      <c r="S33" s="37">
        <f>IF(I36="","",I36)</f>
        <v>7</v>
      </c>
      <c r="T33" s="37"/>
      <c r="U33" s="38">
        <f>IF(G36="","",G36)</f>
        <v>3</v>
      </c>
      <c r="V33" s="36"/>
      <c r="W33" s="37">
        <f>IF(I37="","",I37)</f>
        <v>3</v>
      </c>
      <c r="X33" s="37"/>
      <c r="Y33" s="38">
        <f>IF(G37="","",G37)</f>
        <v>8</v>
      </c>
      <c r="Z33" s="36"/>
      <c r="AA33" s="37">
        <f>IF(I38="","",I38)</f>
      </c>
      <c r="AB33" s="37"/>
      <c r="AC33" s="38">
        <f>IF(G38="","",G38)</f>
      </c>
      <c r="AD33" s="36"/>
      <c r="AE33" s="37">
        <f>IF(I39="","",I39)</f>
      </c>
      <c r="AF33" s="37"/>
      <c r="AG33" s="38">
        <f>IF(G39="","",G39)</f>
      </c>
      <c r="AH33" s="36"/>
      <c r="AI33" s="37">
        <f>IF(I40="","",I40)</f>
      </c>
      <c r="AJ33" s="37"/>
      <c r="AK33" s="38">
        <f>IF(G40="","",G40)</f>
      </c>
      <c r="AL33" s="36"/>
      <c r="AM33" s="37">
        <f>IF(I41="","",I41)</f>
      </c>
      <c r="AN33" s="37"/>
      <c r="AO33" s="38">
        <f>IF(G41="","",G41)</f>
      </c>
      <c r="AP33" s="36"/>
      <c r="AQ33" s="37">
        <f>IF(I42="","",I42)</f>
      </c>
      <c r="AR33" s="37"/>
      <c r="AS33" s="38">
        <f>IF(G42="","",G42)</f>
      </c>
      <c r="AT33" s="40">
        <f t="shared" si="49"/>
        <v>2</v>
      </c>
      <c r="AU33" s="30">
        <f t="shared" si="50"/>
        <v>3</v>
      </c>
      <c r="AV33" s="30">
        <f t="shared" si="51"/>
        <v>0</v>
      </c>
      <c r="AW33" s="31">
        <f t="shared" si="52"/>
        <v>4</v>
      </c>
      <c r="AX33" s="32">
        <f t="shared" si="53"/>
        <v>0</v>
      </c>
      <c r="AY33" s="33">
        <f t="shared" si="54"/>
        <v>0</v>
      </c>
      <c r="AZ33" s="34">
        <f t="shared" si="55"/>
        <v>4</v>
      </c>
      <c r="BA33" s="30">
        <f t="shared" si="56"/>
        <v>35</v>
      </c>
      <c r="BB33" s="30">
        <f t="shared" si="57"/>
        <v>38</v>
      </c>
      <c r="BC33" s="30">
        <f t="shared" si="58"/>
        <v>-3</v>
      </c>
      <c r="BF33" s="42">
        <f>BK33+COUNTIF(BK$31:BK32,BK33)</f>
        <v>5</v>
      </c>
      <c r="BG33" s="44" t="str">
        <f t="shared" si="59"/>
        <v>野菊野ファイターズ</v>
      </c>
      <c r="BH33" s="42">
        <f t="shared" si="60"/>
        <v>4</v>
      </c>
      <c r="BI33" s="42">
        <f t="shared" si="61"/>
        <v>2</v>
      </c>
      <c r="BJ33" s="42">
        <f t="shared" si="62"/>
        <v>5</v>
      </c>
      <c r="BK33" s="42">
        <f t="shared" si="63"/>
        <v>4</v>
      </c>
      <c r="BL33" s="43">
        <f t="shared" si="64"/>
        <v>2</v>
      </c>
      <c r="BM33" s="45" t="str">
        <f t="shared" si="65"/>
        <v>高塚新田ラークス</v>
      </c>
      <c r="BN33" s="45">
        <f t="shared" si="66"/>
        <v>6</v>
      </c>
      <c r="BO33" s="45">
        <f t="shared" si="67"/>
        <v>3</v>
      </c>
      <c r="BP33" s="45">
        <f t="shared" si="68"/>
        <v>4</v>
      </c>
      <c r="BQ33" s="55"/>
      <c r="BS33" s="42">
        <f>BV33+COUNTIF(BV$31:BV32,BV33)</f>
        <v>2</v>
      </c>
      <c r="BT33" s="44" t="str">
        <f t="shared" si="69"/>
        <v>野菊野ファイターズ</v>
      </c>
      <c r="BU33" s="42">
        <f t="shared" si="70"/>
        <v>5</v>
      </c>
      <c r="BV33" s="42">
        <f t="shared" si="71"/>
        <v>1</v>
      </c>
      <c r="BW33" s="43">
        <f t="shared" si="72"/>
        <v>1</v>
      </c>
      <c r="BX33" s="45" t="str">
        <f t="shared" si="73"/>
        <v>野菊野ファイターズ</v>
      </c>
    </row>
    <row r="34" spans="1:76" ht="19.5" customHeight="1">
      <c r="A34" s="79" t="s">
        <v>64</v>
      </c>
      <c r="B34" s="36"/>
      <c r="C34" s="37">
        <v>6</v>
      </c>
      <c r="D34" s="37"/>
      <c r="E34" s="38">
        <v>3</v>
      </c>
      <c r="F34" s="36"/>
      <c r="G34" s="37">
        <v>10</v>
      </c>
      <c r="H34" s="37"/>
      <c r="I34" s="38">
        <v>8</v>
      </c>
      <c r="J34" s="36"/>
      <c r="K34" s="37"/>
      <c r="L34" s="37"/>
      <c r="M34" s="38"/>
      <c r="N34" s="36"/>
      <c r="O34" s="37">
        <f>IF(M35="","",M35)</f>
        <v>13</v>
      </c>
      <c r="P34" s="37"/>
      <c r="Q34" s="38">
        <f>IF(K35="","",K35)</f>
        <v>5</v>
      </c>
      <c r="R34" s="36"/>
      <c r="S34" s="37">
        <f>IF(M36="","",M36)</f>
      </c>
      <c r="T34" s="37"/>
      <c r="U34" s="38">
        <f>IF(K36="","",K36)</f>
      </c>
      <c r="V34" s="36"/>
      <c r="W34" s="37">
        <f>IF(M37="","",M37)</f>
        <v>2</v>
      </c>
      <c r="X34" s="37"/>
      <c r="Y34" s="38">
        <f>IF(K37="","",K37)</f>
        <v>12</v>
      </c>
      <c r="Z34" s="36"/>
      <c r="AA34" s="37">
        <f>IF(M38="","",M38)</f>
      </c>
      <c r="AB34" s="37"/>
      <c r="AC34" s="38">
        <f>IF(K38="","",K38)</f>
      </c>
      <c r="AD34" s="36"/>
      <c r="AE34" s="37">
        <f>IF(M39="","",M39)</f>
      </c>
      <c r="AF34" s="37"/>
      <c r="AG34" s="38">
        <f>IF(K39="","",K39)</f>
      </c>
      <c r="AH34" s="36"/>
      <c r="AI34" s="37">
        <f>IF(M40="","",M40)</f>
      </c>
      <c r="AJ34" s="37"/>
      <c r="AK34" s="38">
        <f>IF(K40="","",K40)</f>
      </c>
      <c r="AL34" s="36"/>
      <c r="AM34" s="37">
        <f>IF(M41="","",M41)</f>
      </c>
      <c r="AN34" s="37"/>
      <c r="AO34" s="38">
        <f>IF(K41="","",K41)</f>
      </c>
      <c r="AP34" s="36"/>
      <c r="AQ34" s="37">
        <f>IF(M42="","",M42)</f>
      </c>
      <c r="AR34" s="37"/>
      <c r="AS34" s="38">
        <f>IF(K42="","",K42)</f>
      </c>
      <c r="AT34" s="40">
        <f t="shared" si="49"/>
        <v>3</v>
      </c>
      <c r="AU34" s="30">
        <f t="shared" si="50"/>
        <v>1</v>
      </c>
      <c r="AV34" s="30">
        <f t="shared" si="51"/>
        <v>0</v>
      </c>
      <c r="AW34" s="31">
        <f t="shared" si="52"/>
        <v>6</v>
      </c>
      <c r="AX34" s="32">
        <f t="shared" si="53"/>
        <v>0</v>
      </c>
      <c r="AY34" s="33">
        <f t="shared" si="54"/>
        <v>0</v>
      </c>
      <c r="AZ34" s="34">
        <f t="shared" si="55"/>
        <v>6</v>
      </c>
      <c r="BA34" s="30">
        <f t="shared" si="56"/>
        <v>31</v>
      </c>
      <c r="BB34" s="30">
        <f t="shared" si="57"/>
        <v>28</v>
      </c>
      <c r="BC34" s="30">
        <f t="shared" si="58"/>
        <v>3</v>
      </c>
      <c r="BF34" s="42">
        <f>BK34+COUNTIF(BK$31:BK33,BK34)</f>
        <v>2</v>
      </c>
      <c r="BG34" s="44" t="str">
        <f t="shared" si="59"/>
        <v>高塚新田ラークス</v>
      </c>
      <c r="BH34" s="42">
        <f t="shared" si="60"/>
        <v>6</v>
      </c>
      <c r="BI34" s="42">
        <f t="shared" si="61"/>
        <v>3</v>
      </c>
      <c r="BJ34" s="42">
        <f t="shared" si="62"/>
        <v>4</v>
      </c>
      <c r="BK34" s="42">
        <f t="shared" si="63"/>
        <v>2</v>
      </c>
      <c r="BL34" s="43">
        <f t="shared" si="64"/>
        <v>3</v>
      </c>
      <c r="BM34" s="45" t="str">
        <f t="shared" si="65"/>
        <v>柏ヤンガーズ</v>
      </c>
      <c r="BN34" s="45">
        <f t="shared" si="66"/>
        <v>5</v>
      </c>
      <c r="BO34" s="45">
        <f t="shared" si="67"/>
        <v>2</v>
      </c>
      <c r="BP34" s="45">
        <f t="shared" si="68"/>
        <v>5</v>
      </c>
      <c r="BQ34" s="55"/>
      <c r="BS34" s="42">
        <f>BV34+COUNTIF(BV$31:BV33,BV34)</f>
        <v>5</v>
      </c>
      <c r="BT34" s="44" t="str">
        <f t="shared" si="69"/>
        <v>高塚新田ラークス</v>
      </c>
      <c r="BU34" s="42">
        <f t="shared" si="70"/>
        <v>4</v>
      </c>
      <c r="BV34" s="42">
        <f t="shared" si="71"/>
        <v>5</v>
      </c>
      <c r="BW34" s="43">
        <f t="shared" si="72"/>
        <v>1</v>
      </c>
      <c r="BX34" s="45" t="str">
        <f t="shared" si="73"/>
        <v>柏ヤンガーズ</v>
      </c>
    </row>
    <row r="35" spans="1:76" ht="19.5" customHeight="1">
      <c r="A35" s="79" t="s">
        <v>79</v>
      </c>
      <c r="B35" s="36"/>
      <c r="C35" s="37">
        <v>20</v>
      </c>
      <c r="D35" s="37"/>
      <c r="E35" s="38">
        <v>0</v>
      </c>
      <c r="F35" s="36"/>
      <c r="G35" s="37">
        <v>7</v>
      </c>
      <c r="H35" s="37"/>
      <c r="I35" s="38">
        <v>8</v>
      </c>
      <c r="J35" s="36"/>
      <c r="K35" s="37">
        <v>5</v>
      </c>
      <c r="L35" s="37"/>
      <c r="M35" s="38">
        <v>13</v>
      </c>
      <c r="N35" s="36"/>
      <c r="O35" s="37"/>
      <c r="P35" s="37"/>
      <c r="Q35" s="38"/>
      <c r="R35" s="36"/>
      <c r="S35" s="37">
        <f>IF(Q36="","",Q36)</f>
        <v>11</v>
      </c>
      <c r="T35" s="37"/>
      <c r="U35" s="38">
        <f>IF(O36="","",O36)</f>
        <v>10</v>
      </c>
      <c r="V35" s="36"/>
      <c r="W35" s="37">
        <f>IF(Q37="","",Q37)</f>
        <v>5</v>
      </c>
      <c r="X35" s="37"/>
      <c r="Y35" s="38">
        <f>IF(O37="","",O37)</f>
        <v>5</v>
      </c>
      <c r="Z35" s="36"/>
      <c r="AA35" s="37">
        <f>IF(Q38="","",Q38)</f>
      </c>
      <c r="AB35" s="37"/>
      <c r="AC35" s="38">
        <f>IF(O38="","",O38)</f>
      </c>
      <c r="AD35" s="36"/>
      <c r="AE35" s="37">
        <f>IF(Q39="","",Q39)</f>
      </c>
      <c r="AF35" s="37"/>
      <c r="AG35" s="38">
        <f>IF(O39="","",O39)</f>
      </c>
      <c r="AH35" s="36"/>
      <c r="AI35" s="37">
        <f>IF(Q40="","",Q40)</f>
      </c>
      <c r="AJ35" s="37"/>
      <c r="AK35" s="38">
        <f>IF(O40="","",O40)</f>
      </c>
      <c r="AL35" s="36"/>
      <c r="AM35" s="37">
        <f>IF(Q41="","",Q41)</f>
      </c>
      <c r="AN35" s="37"/>
      <c r="AO35" s="38">
        <f>IF(O41="","",O41)</f>
      </c>
      <c r="AP35" s="36"/>
      <c r="AQ35" s="37">
        <f>IF(Q42="","",Q42)</f>
      </c>
      <c r="AR35" s="37"/>
      <c r="AS35" s="38">
        <f>IF(O42="","",O42)</f>
      </c>
      <c r="AT35" s="40">
        <f t="shared" si="49"/>
        <v>2</v>
      </c>
      <c r="AU35" s="30">
        <f t="shared" si="50"/>
        <v>2</v>
      </c>
      <c r="AV35" s="30">
        <f t="shared" si="51"/>
        <v>1</v>
      </c>
      <c r="AW35" s="31">
        <f t="shared" si="52"/>
        <v>4</v>
      </c>
      <c r="AX35" s="32">
        <f t="shared" si="53"/>
        <v>0</v>
      </c>
      <c r="AY35" s="33">
        <f t="shared" si="54"/>
        <v>1</v>
      </c>
      <c r="AZ35" s="34">
        <f t="shared" si="55"/>
        <v>5</v>
      </c>
      <c r="BA35" s="30">
        <f t="shared" si="56"/>
        <v>48</v>
      </c>
      <c r="BB35" s="30">
        <f t="shared" si="57"/>
        <v>36</v>
      </c>
      <c r="BC35" s="30">
        <f t="shared" si="58"/>
        <v>12</v>
      </c>
      <c r="BF35" s="42">
        <f>BK35+COUNTIF(BK$31:BK34,BK35)</f>
        <v>3</v>
      </c>
      <c r="BG35" s="44" t="str">
        <f t="shared" si="59"/>
        <v>柏ヤンガーズ</v>
      </c>
      <c r="BH35" s="42">
        <f t="shared" si="60"/>
        <v>5</v>
      </c>
      <c r="BI35" s="42">
        <f t="shared" si="61"/>
        <v>2</v>
      </c>
      <c r="BJ35" s="42">
        <f t="shared" si="62"/>
        <v>5</v>
      </c>
      <c r="BK35" s="42">
        <f t="shared" si="63"/>
        <v>3</v>
      </c>
      <c r="BL35" s="43">
        <f t="shared" si="64"/>
        <v>4</v>
      </c>
      <c r="BM35" s="45" t="str">
        <f t="shared" si="65"/>
        <v>常盤平ボーイズ</v>
      </c>
      <c r="BN35" s="45">
        <f t="shared" si="66"/>
        <v>4</v>
      </c>
      <c r="BO35" s="45">
        <f t="shared" si="67"/>
        <v>2</v>
      </c>
      <c r="BP35" s="45">
        <f t="shared" si="68"/>
        <v>5</v>
      </c>
      <c r="BQ35" s="55"/>
      <c r="BS35" s="42">
        <f>BV35+COUNTIF(BV$31:BV34,BV35)</f>
        <v>3</v>
      </c>
      <c r="BT35" s="44" t="str">
        <f t="shared" si="69"/>
        <v>柏ヤンガーズ</v>
      </c>
      <c r="BU35" s="42">
        <f t="shared" si="70"/>
        <v>5</v>
      </c>
      <c r="BV35" s="42">
        <f t="shared" si="71"/>
        <v>1</v>
      </c>
      <c r="BW35" s="43">
        <f t="shared" si="72"/>
        <v>1</v>
      </c>
      <c r="BX35" s="45" t="str">
        <f t="shared" si="73"/>
        <v>木刈ファイターズ</v>
      </c>
    </row>
    <row r="36" spans="1:76" ht="19.5" customHeight="1">
      <c r="A36" s="79" t="s">
        <v>85</v>
      </c>
      <c r="B36" s="36"/>
      <c r="C36" s="37">
        <v>0</v>
      </c>
      <c r="D36" s="37"/>
      <c r="E36" s="38">
        <v>6</v>
      </c>
      <c r="F36" s="36"/>
      <c r="G36" s="37">
        <v>3</v>
      </c>
      <c r="H36" s="37"/>
      <c r="I36" s="38">
        <v>7</v>
      </c>
      <c r="J36" s="36"/>
      <c r="K36" s="37"/>
      <c r="L36" s="37"/>
      <c r="M36" s="38"/>
      <c r="N36" s="36"/>
      <c r="O36" s="37">
        <v>10</v>
      </c>
      <c r="P36" s="37"/>
      <c r="Q36" s="38">
        <v>11</v>
      </c>
      <c r="R36" s="36"/>
      <c r="S36" s="37"/>
      <c r="T36" s="37"/>
      <c r="U36" s="38"/>
      <c r="V36" s="36"/>
      <c r="W36" s="37">
        <f>IF(U37="","",U37)</f>
        <v>5</v>
      </c>
      <c r="X36" s="37"/>
      <c r="Y36" s="38">
        <f>IF(S37="","",S37)</f>
        <v>4</v>
      </c>
      <c r="Z36" s="36"/>
      <c r="AA36" s="37">
        <f>IF(U38="","",U38)</f>
      </c>
      <c r="AB36" s="37"/>
      <c r="AC36" s="38">
        <f>IF(S38="","",S38)</f>
      </c>
      <c r="AD36" s="36"/>
      <c r="AE36" s="37">
        <f>IF(U39="","",U39)</f>
      </c>
      <c r="AF36" s="37"/>
      <c r="AG36" s="38">
        <f>IF(S39="","",S39)</f>
      </c>
      <c r="AH36" s="36"/>
      <c r="AI36" s="37">
        <f>IF(U40="","",U40)</f>
      </c>
      <c r="AJ36" s="37"/>
      <c r="AK36" s="38">
        <f>IF(S40="","",S40)</f>
      </c>
      <c r="AL36" s="36"/>
      <c r="AM36" s="37">
        <f>IF(U41="","",U41)</f>
      </c>
      <c r="AN36" s="37"/>
      <c r="AO36" s="38">
        <f>IF(S41="","",S41)</f>
      </c>
      <c r="AP36" s="36"/>
      <c r="AQ36" s="37">
        <f>IF(U42="","",U42)</f>
      </c>
      <c r="AR36" s="37"/>
      <c r="AS36" s="38">
        <f>IF(S42="","",S42)</f>
      </c>
      <c r="AT36" s="40">
        <f t="shared" si="49"/>
        <v>1</v>
      </c>
      <c r="AU36" s="30">
        <f t="shared" si="50"/>
        <v>3</v>
      </c>
      <c r="AV36" s="30">
        <f t="shared" si="51"/>
        <v>0</v>
      </c>
      <c r="AW36" s="31">
        <f t="shared" si="52"/>
        <v>2</v>
      </c>
      <c r="AX36" s="32">
        <f t="shared" si="53"/>
        <v>0</v>
      </c>
      <c r="AY36" s="33">
        <f t="shared" si="54"/>
        <v>0</v>
      </c>
      <c r="AZ36" s="34">
        <f t="shared" si="55"/>
        <v>2</v>
      </c>
      <c r="BA36" s="30">
        <f t="shared" si="56"/>
        <v>18</v>
      </c>
      <c r="BB36" s="30">
        <f t="shared" si="57"/>
        <v>28</v>
      </c>
      <c r="BC36" s="30">
        <f t="shared" si="58"/>
        <v>-10</v>
      </c>
      <c r="BF36" s="42">
        <f>BK36+COUNTIF(BK$31:BK35,BK36)</f>
        <v>6</v>
      </c>
      <c r="BG36" s="44" t="str">
        <f t="shared" si="59"/>
        <v>光ヶ丘シャークス</v>
      </c>
      <c r="BH36" s="42">
        <f t="shared" si="60"/>
        <v>2</v>
      </c>
      <c r="BI36" s="42">
        <f t="shared" si="61"/>
        <v>1</v>
      </c>
      <c r="BJ36" s="42">
        <f t="shared" si="62"/>
        <v>4</v>
      </c>
      <c r="BK36" s="42">
        <f t="shared" si="63"/>
        <v>6</v>
      </c>
      <c r="BL36" s="43">
        <f t="shared" si="64"/>
        <v>4</v>
      </c>
      <c r="BM36" s="45" t="str">
        <f t="shared" si="65"/>
        <v>野菊野ファイターズ</v>
      </c>
      <c r="BN36" s="45">
        <f t="shared" si="66"/>
        <v>4</v>
      </c>
      <c r="BO36" s="45">
        <f t="shared" si="67"/>
        <v>2</v>
      </c>
      <c r="BP36" s="45">
        <f t="shared" si="68"/>
        <v>5</v>
      </c>
      <c r="BQ36" s="55"/>
      <c r="BS36" s="42">
        <f>BV36+COUNTIF(BV$31:BV35,BV36)</f>
        <v>6</v>
      </c>
      <c r="BT36" s="44" t="str">
        <f t="shared" si="69"/>
        <v>光ヶ丘シャークス</v>
      </c>
      <c r="BU36" s="42">
        <f t="shared" si="70"/>
        <v>4</v>
      </c>
      <c r="BV36" s="42">
        <f t="shared" si="71"/>
        <v>5</v>
      </c>
      <c r="BW36" s="43">
        <f t="shared" si="72"/>
        <v>5</v>
      </c>
      <c r="BX36" s="45" t="str">
        <f t="shared" si="73"/>
        <v>高塚新田ラークス</v>
      </c>
    </row>
    <row r="37" spans="1:76" ht="19.5" customHeight="1">
      <c r="A37" s="79" t="s">
        <v>87</v>
      </c>
      <c r="B37" s="36"/>
      <c r="C37" s="37">
        <v>9</v>
      </c>
      <c r="D37" s="37"/>
      <c r="E37" s="38">
        <v>8</v>
      </c>
      <c r="F37" s="36"/>
      <c r="G37" s="37">
        <v>8</v>
      </c>
      <c r="H37" s="37"/>
      <c r="I37" s="38">
        <v>3</v>
      </c>
      <c r="J37" s="36"/>
      <c r="K37" s="37">
        <v>12</v>
      </c>
      <c r="L37" s="37"/>
      <c r="M37" s="38">
        <v>2</v>
      </c>
      <c r="N37" s="36"/>
      <c r="O37" s="37">
        <v>5</v>
      </c>
      <c r="P37" s="37"/>
      <c r="Q37" s="38">
        <v>5</v>
      </c>
      <c r="R37" s="36"/>
      <c r="S37" s="37">
        <v>4</v>
      </c>
      <c r="T37" s="37"/>
      <c r="U37" s="38">
        <v>5</v>
      </c>
      <c r="V37" s="36"/>
      <c r="W37" s="37"/>
      <c r="X37" s="37"/>
      <c r="Y37" s="38"/>
      <c r="Z37" s="36"/>
      <c r="AA37" s="37">
        <f>IF(Y38="","",Y38)</f>
      </c>
      <c r="AB37" s="37"/>
      <c r="AC37" s="38">
        <f>IF(W38="","",W38)</f>
      </c>
      <c r="AD37" s="36"/>
      <c r="AE37" s="37">
        <f>IF(Y39="","",Y39)</f>
      </c>
      <c r="AF37" s="37"/>
      <c r="AG37" s="38">
        <f>IF(W39="","",W39)</f>
      </c>
      <c r="AH37" s="36"/>
      <c r="AI37" s="37">
        <f>IF(Y40="","",Y40)</f>
      </c>
      <c r="AJ37" s="37"/>
      <c r="AK37" s="38">
        <f>IF(W40="","",W40)</f>
      </c>
      <c r="AL37" s="36"/>
      <c r="AM37" s="37">
        <f>IF(Y41="","",Y41)</f>
      </c>
      <c r="AN37" s="37"/>
      <c r="AO37" s="38">
        <f>IF(W41="","",W41)</f>
      </c>
      <c r="AP37" s="36"/>
      <c r="AQ37" s="37">
        <f>IF(Y42="","",Y42)</f>
      </c>
      <c r="AR37" s="37"/>
      <c r="AS37" s="38"/>
      <c r="AT37" s="40">
        <f t="shared" si="49"/>
        <v>3</v>
      </c>
      <c r="AU37" s="30">
        <f t="shared" si="50"/>
        <v>1</v>
      </c>
      <c r="AV37" s="30">
        <f t="shared" si="51"/>
        <v>1</v>
      </c>
      <c r="AW37" s="31">
        <f t="shared" si="52"/>
        <v>6</v>
      </c>
      <c r="AX37" s="32">
        <f t="shared" si="53"/>
        <v>0</v>
      </c>
      <c r="AY37" s="33">
        <f t="shared" si="54"/>
        <v>1</v>
      </c>
      <c r="AZ37" s="34">
        <f t="shared" si="55"/>
        <v>7</v>
      </c>
      <c r="BA37" s="30">
        <f t="shared" si="56"/>
        <v>38</v>
      </c>
      <c r="BB37" s="30">
        <f t="shared" si="57"/>
        <v>23</v>
      </c>
      <c r="BC37" s="30">
        <f t="shared" si="58"/>
        <v>15</v>
      </c>
      <c r="BF37" s="42">
        <f>BK37+COUNTIF(BK$31:BK36,BK37)</f>
        <v>1</v>
      </c>
      <c r="BG37" s="44" t="str">
        <f t="shared" si="59"/>
        <v>木刈ファイターズ</v>
      </c>
      <c r="BH37" s="42">
        <f t="shared" si="60"/>
        <v>7</v>
      </c>
      <c r="BI37" s="42">
        <f t="shared" si="61"/>
        <v>3</v>
      </c>
      <c r="BJ37" s="42">
        <f t="shared" si="62"/>
        <v>5</v>
      </c>
      <c r="BK37" s="42">
        <f t="shared" si="63"/>
        <v>1</v>
      </c>
      <c r="BL37" s="43">
        <f t="shared" si="64"/>
        <v>6</v>
      </c>
      <c r="BM37" s="45" t="str">
        <f t="shared" si="65"/>
        <v>光ヶ丘シャークス</v>
      </c>
      <c r="BN37" s="45">
        <f t="shared" si="66"/>
        <v>2</v>
      </c>
      <c r="BO37" s="45">
        <f t="shared" si="67"/>
        <v>1</v>
      </c>
      <c r="BP37" s="45">
        <f t="shared" si="68"/>
        <v>4</v>
      </c>
      <c r="BQ37" s="55"/>
      <c r="BS37" s="42">
        <f>BV37+COUNTIF(BV$31:BV36,BV37)</f>
        <v>4</v>
      </c>
      <c r="BT37" s="44" t="str">
        <f t="shared" si="69"/>
        <v>木刈ファイターズ</v>
      </c>
      <c r="BU37" s="42">
        <f t="shared" si="70"/>
        <v>5</v>
      </c>
      <c r="BV37" s="42">
        <f t="shared" si="71"/>
        <v>1</v>
      </c>
      <c r="BW37" s="43">
        <f t="shared" si="72"/>
        <v>5</v>
      </c>
      <c r="BX37" s="45" t="str">
        <f t="shared" si="73"/>
        <v>光ヶ丘シャークス</v>
      </c>
    </row>
    <row r="38" spans="1:76" ht="19.5" customHeight="1">
      <c r="A38" s="79"/>
      <c r="B38" s="36"/>
      <c r="C38" s="37"/>
      <c r="D38" s="37"/>
      <c r="E38" s="38"/>
      <c r="F38" s="36"/>
      <c r="G38" s="37"/>
      <c r="H38" s="37"/>
      <c r="I38" s="38"/>
      <c r="J38" s="36"/>
      <c r="K38" s="37"/>
      <c r="L38" s="37"/>
      <c r="M38" s="38"/>
      <c r="N38" s="36"/>
      <c r="O38" s="37"/>
      <c r="P38" s="37"/>
      <c r="Q38" s="38"/>
      <c r="R38" s="36"/>
      <c r="S38" s="37"/>
      <c r="T38" s="37"/>
      <c r="U38" s="38"/>
      <c r="V38" s="36"/>
      <c r="W38" s="37"/>
      <c r="X38" s="37"/>
      <c r="Y38" s="38"/>
      <c r="Z38" s="36"/>
      <c r="AA38" s="37"/>
      <c r="AB38" s="37"/>
      <c r="AC38" s="38"/>
      <c r="AD38" s="36"/>
      <c r="AE38" s="37">
        <f>IF(AC39="","",AC39)</f>
      </c>
      <c r="AF38" s="37"/>
      <c r="AG38" s="38">
        <f>IF(AA39="","",AA39)</f>
      </c>
      <c r="AH38" s="36"/>
      <c r="AI38" s="37">
        <f>IF(AC40="","",AC40)</f>
      </c>
      <c r="AJ38" s="37"/>
      <c r="AK38" s="38">
        <f>IF(AA40="","",AA40)</f>
      </c>
      <c r="AL38" s="36"/>
      <c r="AM38" s="37">
        <f>IF(AC41="","",AC41)</f>
      </c>
      <c r="AN38" s="37"/>
      <c r="AO38" s="38">
        <f>IF(AA41="","",AA41)</f>
      </c>
      <c r="AP38" s="36"/>
      <c r="AQ38" s="37">
        <f>IF(AC42="","",AC42)</f>
      </c>
      <c r="AR38" s="37"/>
      <c r="AS38" s="38">
        <f>IF(AA42="","",AA42)</f>
      </c>
      <c r="AT38" s="40">
        <f>IF(C38&gt;E38,1,0)+IF(G38&gt;I38,1,0)+IF(K38&gt;M38,1,0)+IF(O38&gt;Q38,1,0)+IF(S38&gt;U38,1,0)+IF(W38&gt;Y38,1,0)+IF(AA38&gt;AC38,1,0)+IF(AE38&gt;AG38,1,0)+IF(AM38&gt;AO38,1,0)+IF(AQ38&gt;AS38,1,0)+IF(AI38&gt;AK38,1,0)</f>
        <v>0</v>
      </c>
      <c r="AU38" s="30">
        <f>IF(C38&lt;E38,1,0)+IF(G38&lt;I38,1,0)+IF(K38&lt;M38,1,0)+IF(O38&lt;Q38,1,0)+IF(S38&lt;U38,1,0)+IF(W38&lt;Y38,1,0)+IF(AA38&lt;AC38,1,0)+IF(AE38&lt;AG38,1,0)+IF(AM38&lt;AO38,1,0)+IF(AQ38&lt;AS38,1,0)+IF(AI38&lt;AK38,1,0)</f>
        <v>0</v>
      </c>
      <c r="AV38" s="30">
        <f>IF(AND(ISNUMBER(C38),C38=E38),1,0)+IF(AND(ISNUMBER(G38),G38=I38),1,0)+IF(AND(ISNUMBER(K38),K38=M38),1,)+IF(AND(ISNUMBER(O38),O38=Q38),1,0)+IF(AND(ISNUMBER(S38),S38=U38),1,0)+IF(AND(ISNUMBER(W38),W38=Y38),1,0)+IF(AND(ISNUMBER(AA38),AA38=AC38),1,0)+IF(AND(ISNUMBER(AE38),AE38=AG38),1,0)+IF(AND(ISNUMBER(AM38),AM38=AO38),1,0)+IF(AND(ISNUMBER(AQ38),AQ38=AS38),1,0)+IF(AND(ISNUMBER(AI38),AI38=AK38),1,0)</f>
        <v>0</v>
      </c>
      <c r="AW38" s="31">
        <f>AT38*2</f>
        <v>0</v>
      </c>
      <c r="AX38" s="32">
        <f>AU38*0</f>
        <v>0</v>
      </c>
      <c r="AY38" s="33">
        <f>AV38*1</f>
        <v>0</v>
      </c>
      <c r="AZ38" s="34">
        <f>AW38+AX38+AY38</f>
        <v>0</v>
      </c>
      <c r="BA38" s="30">
        <f>IF(ISNUMBER(G38),G38,0)+IF(ISNUMBER(K38),K38,0)+IF(ISNUMBER(O38),O38,0)+IF(ISNUMBER(AA38),AA38,0)+IF(ISNUMBER(AE38),AE38,0)+IF(ISNUMBER(AM38),AM38,0)+IF(ISNUMBER(S38),S38,0)+IF(ISNUMBER(W38),W38,0)+IF(ISNUMBER(C38),C38,0)+IF(ISNUMBER(AQ38),AQ38,0)+IF(ISNUMBER(AI38),AI38,0)</f>
        <v>0</v>
      </c>
      <c r="BB38" s="30">
        <f>IF(ISNUMBER(I38),I38,0)+IF(ISNUMBER(M38),M38,0)+IF(ISNUMBER(Q38),Q38,0)+IF(ISNUMBER(AC38),AC38,0)+IF(ISNUMBER(AG38),AG38,0)+IF(ISNUMBER(AO38),AO38,0)+IF(ISNUMBER(U38),U38,0)+IF(ISNUMBER(Y38),Y38,0)+IF(ISNUMBER(E38),E38,0)+IF(ISNUMBER(AS38),AS38,0)+IF(ISNUMBER(AK38),AK38,0)</f>
        <v>0</v>
      </c>
      <c r="BC38" s="30">
        <f>BA38-BB38</f>
        <v>0</v>
      </c>
      <c r="BF38" s="42"/>
      <c r="BG38" s="44"/>
      <c r="BH38" s="42"/>
      <c r="BI38" s="42"/>
      <c r="BJ38" s="42"/>
      <c r="BK38" s="42"/>
      <c r="BL38" s="43"/>
      <c r="BM38" s="45"/>
      <c r="BN38" s="45"/>
      <c r="BO38" s="45"/>
      <c r="BP38" s="45"/>
      <c r="BQ38" s="55"/>
      <c r="BS38" s="42"/>
      <c r="BT38" s="44"/>
      <c r="BU38" s="42"/>
      <c r="BV38" s="42"/>
      <c r="BW38" s="43"/>
      <c r="BX38" s="45"/>
    </row>
    <row r="39" spans="1:76" ht="19.5" customHeight="1">
      <c r="A39" s="79"/>
      <c r="B39" s="36"/>
      <c r="C39" s="37"/>
      <c r="D39" s="37"/>
      <c r="E39" s="38"/>
      <c r="F39" s="36"/>
      <c r="G39" s="37"/>
      <c r="H39" s="37"/>
      <c r="I39" s="38"/>
      <c r="J39" s="36"/>
      <c r="K39" s="37"/>
      <c r="L39" s="37"/>
      <c r="M39" s="38"/>
      <c r="N39" s="36"/>
      <c r="O39" s="37"/>
      <c r="P39" s="37"/>
      <c r="Q39" s="38"/>
      <c r="R39" s="36"/>
      <c r="S39" s="37"/>
      <c r="T39" s="37"/>
      <c r="U39" s="38"/>
      <c r="V39" s="36"/>
      <c r="W39" s="37"/>
      <c r="X39" s="37"/>
      <c r="Y39" s="38"/>
      <c r="Z39" s="36"/>
      <c r="AA39" s="37"/>
      <c r="AB39" s="37"/>
      <c r="AC39" s="38"/>
      <c r="AD39" s="36"/>
      <c r="AE39" s="37"/>
      <c r="AF39" s="37"/>
      <c r="AG39" s="38"/>
      <c r="AH39" s="36"/>
      <c r="AI39" s="37">
        <f>IF(AG40="","",AG40)</f>
      </c>
      <c r="AJ39" s="37"/>
      <c r="AK39" s="38">
        <f>IF(AE40="","",AE40)</f>
      </c>
      <c r="AL39" s="36"/>
      <c r="AM39" s="37">
        <f>IF(AG41="","",AG41)</f>
      </c>
      <c r="AN39" s="37"/>
      <c r="AO39" s="38">
        <f>IF(AE41="","",AE41)</f>
      </c>
      <c r="AP39" s="36"/>
      <c r="AQ39" s="37">
        <f>IF(AG42="","",AG42)</f>
      </c>
      <c r="AR39" s="37"/>
      <c r="AS39" s="38">
        <f>IF(AE42="","",AE42)</f>
      </c>
      <c r="AT39" s="40"/>
      <c r="AU39" s="30"/>
      <c r="AV39" s="30"/>
      <c r="AW39" s="31"/>
      <c r="AX39" s="32"/>
      <c r="AY39" s="33"/>
      <c r="AZ39" s="34"/>
      <c r="BA39" s="30"/>
      <c r="BB39" s="30"/>
      <c r="BC39" s="30"/>
      <c r="BF39" s="42"/>
      <c r="BG39" s="44"/>
      <c r="BH39" s="42"/>
      <c r="BI39" s="42"/>
      <c r="BJ39" s="42"/>
      <c r="BK39" s="42"/>
      <c r="BL39" s="43"/>
      <c r="BM39" s="45"/>
      <c r="BN39" s="45"/>
      <c r="BO39" s="45"/>
      <c r="BP39" s="45"/>
      <c r="BQ39" s="55"/>
      <c r="BS39" s="42"/>
      <c r="BT39" s="44"/>
      <c r="BU39" s="42"/>
      <c r="BV39" s="42"/>
      <c r="BW39" s="43"/>
      <c r="BX39" s="45"/>
    </row>
    <row r="40" spans="1:76" ht="19.5" customHeight="1">
      <c r="A40" s="79"/>
      <c r="B40" s="36"/>
      <c r="C40" s="37"/>
      <c r="D40" s="37"/>
      <c r="E40" s="38"/>
      <c r="F40" s="36"/>
      <c r="G40" s="37"/>
      <c r="H40" s="37"/>
      <c r="I40" s="38"/>
      <c r="J40" s="36"/>
      <c r="K40" s="37"/>
      <c r="L40" s="37"/>
      <c r="M40" s="38"/>
      <c r="N40" s="36"/>
      <c r="O40" s="37"/>
      <c r="P40" s="37"/>
      <c r="Q40" s="38"/>
      <c r="R40" s="36"/>
      <c r="S40" s="37"/>
      <c r="T40" s="37"/>
      <c r="U40" s="38"/>
      <c r="V40" s="36"/>
      <c r="W40" s="37"/>
      <c r="X40" s="37"/>
      <c r="Y40" s="38"/>
      <c r="Z40" s="36"/>
      <c r="AA40" s="37"/>
      <c r="AB40" s="37"/>
      <c r="AC40" s="38"/>
      <c r="AD40" s="36"/>
      <c r="AE40" s="37"/>
      <c r="AF40" s="37"/>
      <c r="AG40" s="38"/>
      <c r="AH40" s="37"/>
      <c r="AI40" s="37"/>
      <c r="AJ40" s="37"/>
      <c r="AK40" s="37"/>
      <c r="AL40" s="36"/>
      <c r="AM40" s="37">
        <f>IF(AK41="","",AK41)</f>
      </c>
      <c r="AN40" s="37"/>
      <c r="AO40" s="38">
        <f>IF(AI41="","",AI41)</f>
      </c>
      <c r="AP40" s="36"/>
      <c r="AQ40" s="37">
        <f>IF(AK42="","",AK42)</f>
      </c>
      <c r="AR40" s="37"/>
      <c r="AS40" s="38">
        <f>IF(AI42="","",AI42)</f>
      </c>
      <c r="AT40" s="40"/>
      <c r="AU40" s="30"/>
      <c r="AV40" s="30"/>
      <c r="AW40" s="31"/>
      <c r="AX40" s="32"/>
      <c r="AY40" s="33"/>
      <c r="AZ40" s="34"/>
      <c r="BA40" s="30"/>
      <c r="BB40" s="30"/>
      <c r="BC40" s="30"/>
      <c r="BF40" s="42"/>
      <c r="BG40" s="44"/>
      <c r="BH40" s="42"/>
      <c r="BI40" s="42"/>
      <c r="BJ40" s="42"/>
      <c r="BK40" s="42"/>
      <c r="BL40" s="43"/>
      <c r="BM40" s="45"/>
      <c r="BN40" s="45"/>
      <c r="BO40" s="45"/>
      <c r="BP40" s="45"/>
      <c r="BQ40" s="55"/>
      <c r="BS40" s="42"/>
      <c r="BT40" s="44"/>
      <c r="BU40" s="42"/>
      <c r="BV40" s="42"/>
      <c r="BW40" s="43"/>
      <c r="BX40" s="45"/>
    </row>
    <row r="41" spans="1:76" ht="19.5" customHeight="1">
      <c r="A41" s="79"/>
      <c r="B41" s="36"/>
      <c r="C41" s="37"/>
      <c r="D41" s="37"/>
      <c r="E41" s="38"/>
      <c r="F41" s="36"/>
      <c r="G41" s="37"/>
      <c r="H41" s="37"/>
      <c r="I41" s="38"/>
      <c r="J41" s="36"/>
      <c r="K41" s="37"/>
      <c r="L41" s="37"/>
      <c r="M41" s="38"/>
      <c r="N41" s="36"/>
      <c r="O41" s="37"/>
      <c r="P41" s="37"/>
      <c r="Q41" s="38"/>
      <c r="R41" s="36"/>
      <c r="S41" s="37"/>
      <c r="T41" s="37"/>
      <c r="U41" s="38"/>
      <c r="V41" s="36"/>
      <c r="W41" s="37"/>
      <c r="X41" s="37"/>
      <c r="Y41" s="38"/>
      <c r="Z41" s="36"/>
      <c r="AA41" s="37"/>
      <c r="AB41" s="37"/>
      <c r="AC41" s="38"/>
      <c r="AD41" s="36"/>
      <c r="AE41" s="37"/>
      <c r="AF41" s="37"/>
      <c r="AG41" s="38"/>
      <c r="AH41" s="37"/>
      <c r="AI41" s="75"/>
      <c r="AJ41" s="37"/>
      <c r="AK41" s="37"/>
      <c r="AL41" s="36"/>
      <c r="AM41" s="37"/>
      <c r="AN41" s="37"/>
      <c r="AO41" s="38"/>
      <c r="AP41" s="36"/>
      <c r="AQ41" s="37">
        <f>IF(AO42="","",AO42)</f>
      </c>
      <c r="AR41" s="37"/>
      <c r="AS41" s="38">
        <f>IF(AM42="","",AM42)</f>
      </c>
      <c r="AT41" s="40"/>
      <c r="AU41" s="30"/>
      <c r="AV41" s="30"/>
      <c r="AW41" s="31"/>
      <c r="AX41" s="32"/>
      <c r="AY41" s="33"/>
      <c r="AZ41" s="34"/>
      <c r="BA41" s="30"/>
      <c r="BB41" s="30"/>
      <c r="BC41" s="30"/>
      <c r="BF41" s="42"/>
      <c r="BG41" s="44"/>
      <c r="BH41" s="42"/>
      <c r="BI41" s="42"/>
      <c r="BJ41" s="42"/>
      <c r="BK41" s="42"/>
      <c r="BL41" s="43"/>
      <c r="BM41" s="45"/>
      <c r="BN41" s="45"/>
      <c r="BO41" s="45"/>
      <c r="BP41" s="45"/>
      <c r="BQ41" s="55"/>
      <c r="BS41" s="42"/>
      <c r="BT41" s="44"/>
      <c r="BU41" s="42"/>
      <c r="BV41" s="42"/>
      <c r="BW41" s="43"/>
      <c r="BX41" s="45"/>
    </row>
    <row r="42" spans="1:76" ht="19.5" customHeight="1">
      <c r="A42" s="69"/>
      <c r="B42" s="36"/>
      <c r="C42" s="37"/>
      <c r="D42" s="37"/>
      <c r="E42" s="38"/>
      <c r="F42" s="36"/>
      <c r="G42" s="37"/>
      <c r="H42" s="37"/>
      <c r="I42" s="38"/>
      <c r="J42" s="36"/>
      <c r="K42" s="37"/>
      <c r="L42" s="37"/>
      <c r="M42" s="38"/>
      <c r="N42" s="36"/>
      <c r="O42" s="37"/>
      <c r="P42" s="37"/>
      <c r="Q42" s="38"/>
      <c r="R42" s="36"/>
      <c r="S42" s="37"/>
      <c r="T42" s="37"/>
      <c r="U42" s="38"/>
      <c r="V42" s="36"/>
      <c r="W42" s="37"/>
      <c r="X42" s="37"/>
      <c r="Y42" s="38"/>
      <c r="Z42" s="36"/>
      <c r="AA42" s="37"/>
      <c r="AB42" s="37"/>
      <c r="AC42" s="38"/>
      <c r="AD42" s="36"/>
      <c r="AE42" s="37"/>
      <c r="AF42" s="37"/>
      <c r="AG42" s="38"/>
      <c r="AH42" s="37"/>
      <c r="AI42" s="75"/>
      <c r="AJ42" s="37"/>
      <c r="AK42" s="37"/>
      <c r="AL42" s="36"/>
      <c r="AM42" s="37"/>
      <c r="AN42" s="37"/>
      <c r="AO42" s="38"/>
      <c r="AP42" s="36"/>
      <c r="AQ42" s="37"/>
      <c r="AR42" s="37"/>
      <c r="AS42" s="38"/>
      <c r="AT42" s="40"/>
      <c r="AU42" s="30"/>
      <c r="AV42" s="30"/>
      <c r="AW42" s="31"/>
      <c r="AX42" s="32"/>
      <c r="AY42" s="33"/>
      <c r="AZ42" s="34"/>
      <c r="BA42" s="30"/>
      <c r="BB42" s="30"/>
      <c r="BC42" s="30"/>
      <c r="BF42" s="42"/>
      <c r="BG42" s="44"/>
      <c r="BH42" s="42"/>
      <c r="BI42" s="42"/>
      <c r="BJ42" s="42"/>
      <c r="BK42" s="42"/>
      <c r="BL42" s="43"/>
      <c r="BM42" s="45"/>
      <c r="BN42" s="45"/>
      <c r="BO42" s="45"/>
      <c r="BP42" s="45"/>
      <c r="BQ42" s="55"/>
      <c r="BS42" s="42"/>
      <c r="BT42" s="44"/>
      <c r="BU42" s="42"/>
      <c r="BV42" s="42"/>
      <c r="BW42" s="43"/>
      <c r="BX42" s="45"/>
    </row>
    <row r="43" spans="1:74" ht="19.5" customHeight="1">
      <c r="A43" s="7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7"/>
      <c r="AH43" s="7"/>
      <c r="AI43" s="7"/>
      <c r="AJ43" s="7"/>
      <c r="AK43" s="7"/>
      <c r="AL43" s="7"/>
      <c r="AM43" s="7"/>
      <c r="AN43" s="21"/>
      <c r="AO43" s="1"/>
      <c r="AP43" s="1"/>
      <c r="AQ43" s="1"/>
      <c r="AR43" s="1"/>
      <c r="AS43" s="1"/>
      <c r="AT43" s="6">
        <f>SUM(AT32:AT42)</f>
        <v>13</v>
      </c>
      <c r="AU43" s="6">
        <f>SUM(AU32:AU42)</f>
        <v>13</v>
      </c>
      <c r="AV43" s="6">
        <f>SUM(AV32:AV42)</f>
        <v>2</v>
      </c>
      <c r="AW43" s="6"/>
      <c r="AX43" s="6"/>
      <c r="AY43" s="6"/>
      <c r="AZ43" s="6"/>
      <c r="BA43" s="6">
        <f>SUM(BA32:BA42)</f>
        <v>197</v>
      </c>
      <c r="BB43" s="6">
        <f>SUM(BB32:BB42)</f>
        <v>197</v>
      </c>
      <c r="BC43" s="6">
        <f>SUM(BC32:BC42)</f>
        <v>0</v>
      </c>
      <c r="BU43" s="53">
        <f>SUM(BU32:BU42)/2</f>
        <v>14</v>
      </c>
      <c r="BV43" s="3">
        <f>5*4/2</f>
        <v>10</v>
      </c>
    </row>
    <row r="44" spans="1:55" ht="19.5" customHeight="1">
      <c r="A44" s="78" t="s">
        <v>49</v>
      </c>
      <c r="B44" s="73" t="s">
        <v>53</v>
      </c>
      <c r="C44" s="51"/>
      <c r="D44" s="51"/>
      <c r="E44" s="51"/>
      <c r="F44" s="51"/>
      <c r="G44" s="171" t="str">
        <f>"１日"&amp;ROUND((BV57-BU57)/'戦績'!N42,1)&amp;"試合"</f>
        <v>１日0.1試合</v>
      </c>
      <c r="H44" s="171"/>
      <c r="I44" s="171"/>
      <c r="J44" s="171"/>
      <c r="K44" s="163" t="s">
        <v>20</v>
      </c>
      <c r="L44" s="163"/>
      <c r="M44" s="163"/>
      <c r="N44" s="163"/>
      <c r="O44" s="165" t="str">
        <f>IF(C71&gt;C70,+BM46,"")</f>
        <v>牧の原ジュニアーズ</v>
      </c>
      <c r="P44" s="165"/>
      <c r="Q44" s="165"/>
      <c r="R44" s="165"/>
      <c r="S44" s="165"/>
      <c r="T44" s="52"/>
      <c r="U44" s="163" t="s">
        <v>21</v>
      </c>
      <c r="V44" s="163"/>
      <c r="W44" s="163"/>
      <c r="X44" s="163"/>
      <c r="Y44" s="165" t="str">
        <f>IF(C71&gt;C70,+BM47,"")</f>
        <v>吉川ドリームズ</v>
      </c>
      <c r="Z44" s="165"/>
      <c r="AA44" s="165"/>
      <c r="AB44" s="165"/>
      <c r="AC44" s="165"/>
      <c r="AD44" s="165"/>
      <c r="AE44" s="54" t="s">
        <v>26</v>
      </c>
      <c r="AF44" s="1"/>
      <c r="AG44" s="1"/>
      <c r="AH44" s="1"/>
      <c r="AI44" s="1"/>
      <c r="AJ44" s="1"/>
      <c r="AK44" s="1"/>
      <c r="AL44" s="1"/>
      <c r="AM44" s="1"/>
      <c r="AN44" s="54" t="s">
        <v>26</v>
      </c>
      <c r="AO44" s="1"/>
      <c r="AP44" s="1"/>
      <c r="AQ44" s="1"/>
      <c r="AR44" s="169">
        <f>+BU57/(MAX(BF46:BF54)*(MAX(BF46:BF54)-1)/2)</f>
        <v>0.9333333333333333</v>
      </c>
      <c r="AS44" s="169"/>
      <c r="AT44" s="60">
        <f>IF(AT43=AU43,"","計算間違い")</f>
      </c>
      <c r="AU44" s="1"/>
      <c r="AV44" s="1"/>
      <c r="AW44" s="1" t="s">
        <v>14</v>
      </c>
      <c r="AX44" s="1" t="s">
        <v>15</v>
      </c>
      <c r="AY44" s="1" t="s">
        <v>16</v>
      </c>
      <c r="AZ44" s="1"/>
      <c r="BA44" s="1"/>
      <c r="BB44" s="1"/>
      <c r="BC44" s="1"/>
    </row>
    <row r="45" spans="1:73" ht="19.5" customHeight="1">
      <c r="A45" s="5"/>
      <c r="B45" s="166" t="str">
        <f>+A46</f>
        <v>セントラルパークス</v>
      </c>
      <c r="C45" s="167"/>
      <c r="D45" s="167"/>
      <c r="E45" s="168"/>
      <c r="F45" s="166" t="str">
        <f>+A47</f>
        <v>松戸KSカージナルス
</v>
      </c>
      <c r="G45" s="167"/>
      <c r="H45" s="167"/>
      <c r="I45" s="168"/>
      <c r="J45" s="166" t="str">
        <f>+A48</f>
        <v>牧の原ジュニアーズ</v>
      </c>
      <c r="K45" s="167"/>
      <c r="L45" s="167"/>
      <c r="M45" s="168"/>
      <c r="N45" s="166" t="str">
        <f>+A49</f>
        <v>酒井根東グリーンズ</v>
      </c>
      <c r="O45" s="167"/>
      <c r="P45" s="167"/>
      <c r="Q45" s="168"/>
      <c r="R45" s="166" t="str">
        <f>+A50</f>
        <v>長崎ＦＬＢ</v>
      </c>
      <c r="S45" s="167"/>
      <c r="T45" s="167"/>
      <c r="U45" s="168"/>
      <c r="V45" s="166" t="str">
        <f>+A51</f>
        <v>吉川ドリームズ</v>
      </c>
      <c r="W45" s="167"/>
      <c r="X45" s="167"/>
      <c r="Y45" s="168"/>
      <c r="Z45" s="166"/>
      <c r="AA45" s="167"/>
      <c r="AB45" s="167"/>
      <c r="AC45" s="168"/>
      <c r="AD45" s="166"/>
      <c r="AE45" s="167"/>
      <c r="AF45" s="167"/>
      <c r="AG45" s="168"/>
      <c r="AH45" s="166"/>
      <c r="AI45" s="167"/>
      <c r="AJ45" s="167"/>
      <c r="AK45" s="168"/>
      <c r="AL45" s="166"/>
      <c r="AM45" s="167"/>
      <c r="AN45" s="167"/>
      <c r="AO45" s="168"/>
      <c r="AP45" s="164"/>
      <c r="AQ45" s="164"/>
      <c r="AR45" s="164"/>
      <c r="AS45" s="164"/>
      <c r="AT45" s="25" t="s">
        <v>4</v>
      </c>
      <c r="AU45" s="25" t="s">
        <v>5</v>
      </c>
      <c r="AV45" s="25" t="s">
        <v>6</v>
      </c>
      <c r="AW45" s="26" t="s">
        <v>11</v>
      </c>
      <c r="AX45" s="27" t="s">
        <v>12</v>
      </c>
      <c r="AY45" s="28" t="s">
        <v>13</v>
      </c>
      <c r="AZ45" s="29" t="s">
        <v>7</v>
      </c>
      <c r="BA45" s="25" t="s">
        <v>8</v>
      </c>
      <c r="BB45" s="25" t="s">
        <v>9</v>
      </c>
      <c r="BC45" s="25" t="s">
        <v>10</v>
      </c>
      <c r="BF45" s="41"/>
      <c r="BG45" s="41" t="s">
        <v>17</v>
      </c>
      <c r="BH45" s="41" t="s">
        <v>18</v>
      </c>
      <c r="BI45" s="41"/>
      <c r="BJ45" s="41"/>
      <c r="BK45" s="41"/>
      <c r="BL45" s="41"/>
      <c r="BT45" s="3" t="s">
        <v>17</v>
      </c>
      <c r="BU45" s="3" t="s">
        <v>19</v>
      </c>
    </row>
    <row r="46" spans="1:76" ht="19.5" customHeight="1">
      <c r="A46" s="79" t="s">
        <v>68</v>
      </c>
      <c r="B46" s="36"/>
      <c r="C46" s="37"/>
      <c r="D46" s="37"/>
      <c r="E46" s="38"/>
      <c r="F46" s="36"/>
      <c r="G46" s="37">
        <f>IF(E47="","",E47)</f>
        <v>13</v>
      </c>
      <c r="H46" s="37"/>
      <c r="I46" s="38">
        <f>IF(C47="","",C47)</f>
        <v>5</v>
      </c>
      <c r="J46" s="36"/>
      <c r="K46" s="37">
        <f>IF(E48="","",E48)</f>
        <v>5</v>
      </c>
      <c r="L46" s="37"/>
      <c r="M46" s="38">
        <f>IF(C48="","",C48)</f>
        <v>7</v>
      </c>
      <c r="N46" s="36"/>
      <c r="O46" s="37">
        <f>IF(E49="","",E49)</f>
        <v>4</v>
      </c>
      <c r="P46" s="37"/>
      <c r="Q46" s="38">
        <f>IF(C49="","",C49)</f>
        <v>8</v>
      </c>
      <c r="R46" s="36"/>
      <c r="S46" s="37">
        <f>IF(E50="","",E50)</f>
        <v>19</v>
      </c>
      <c r="T46" s="37"/>
      <c r="U46" s="38">
        <f>IF(C50="","",C50)</f>
        <v>1</v>
      </c>
      <c r="V46" s="36"/>
      <c r="W46" s="37">
        <f>IF(E51="","",E51)</f>
        <v>6</v>
      </c>
      <c r="X46" s="37"/>
      <c r="Y46" s="38">
        <f>IF(C51="","",C51)</f>
        <v>10</v>
      </c>
      <c r="Z46" s="36"/>
      <c r="AA46" s="37">
        <f>IF(E52="","",E52)</f>
      </c>
      <c r="AB46" s="37"/>
      <c r="AC46" s="38">
        <f>IF(C52="","",C52)</f>
      </c>
      <c r="AD46" s="36"/>
      <c r="AE46" s="37">
        <f>IF(E53="","",E53)</f>
      </c>
      <c r="AF46" s="37"/>
      <c r="AG46" s="38">
        <f>IF(C53="","",C53)</f>
      </c>
      <c r="AH46" s="36"/>
      <c r="AI46" s="37">
        <f>IF(E54="","",E54)</f>
      </c>
      <c r="AJ46" s="37"/>
      <c r="AK46" s="38">
        <f>IF(C54="","",C54)</f>
      </c>
      <c r="AL46" s="36"/>
      <c r="AM46" s="37">
        <f>IF(E55="","",E55)</f>
      </c>
      <c r="AN46" s="37"/>
      <c r="AO46" s="38">
        <f>IF(C55="","",C55)</f>
      </c>
      <c r="AP46" s="36"/>
      <c r="AQ46" s="37">
        <f>IF(E56="","",E56)</f>
      </c>
      <c r="AR46" s="37"/>
      <c r="AS46" s="38">
        <f>IF(C56="","",C56)</f>
      </c>
      <c r="AT46" s="40">
        <f aca="true" t="shared" si="74" ref="AT46:AT51">IF(C46&gt;E46,1,0)+IF(G46&gt;I46,1,0)+IF(K46&gt;M46,1,0)+IF(O46&gt;Q46,1,0)+IF(S46&gt;U46,1,0)+IF(W46&gt;Y46,1,0)+IF(AA46&gt;AC46,1,0)+IF(AE46&gt;AG46,1,0)+IF(AM46&gt;AO46,1,0)+IF(AQ46&gt;AS46,1,0)+IF(AI46&gt;AK46,1,0)</f>
        <v>2</v>
      </c>
      <c r="AU46" s="30">
        <f aca="true" t="shared" si="75" ref="AU46:AU51">IF(C46&lt;E46,1,0)+IF(G46&lt;I46,1,0)+IF(K46&lt;M46,1,0)+IF(O46&lt;Q46,1,0)+IF(S46&lt;U46,1,0)+IF(W46&lt;Y46,1,0)+IF(AA46&lt;AC46,1,0)+IF(AE46&lt;AG46,1,0)+IF(AM46&lt;AO46,1,0)+IF(AQ46&lt;AS46,1,0)+IF(AI46&lt;AK46,1,0)</f>
        <v>3</v>
      </c>
      <c r="AV46" s="30">
        <f aca="true" t="shared" si="76" ref="AV46:AV51">IF(AND(ISNUMBER(C46),C46=E46),1,0)+IF(AND(ISNUMBER(G46),G46=I46),1,0)+IF(AND(ISNUMBER(K46),K46=M46),1,)+IF(AND(ISNUMBER(O46),O46=Q46),1,0)+IF(AND(ISNUMBER(S46),S46=U46),1,0)+IF(AND(ISNUMBER(W46),W46=Y46),1,0)+IF(AND(ISNUMBER(AA46),AA46=AC46),1,0)+IF(AND(ISNUMBER(AE46),AE46=AG46),1,0)+IF(AND(ISNUMBER(AM46),AM46=AO46),1,0)+IF(AND(ISNUMBER(AQ46),AQ46=AS46),1,0)+IF(AND(ISNUMBER(AI46),AI46=AK46),1,0)</f>
        <v>0</v>
      </c>
      <c r="AW46" s="31">
        <f aca="true" t="shared" si="77" ref="AW46:AW51">AT46*2</f>
        <v>4</v>
      </c>
      <c r="AX46" s="32">
        <f aca="true" t="shared" si="78" ref="AX46:AX51">AU46*0</f>
        <v>0</v>
      </c>
      <c r="AY46" s="33">
        <f aca="true" t="shared" si="79" ref="AY46:AY51">AV46*1</f>
        <v>0</v>
      </c>
      <c r="AZ46" s="34">
        <f aca="true" t="shared" si="80" ref="AZ46:AZ51">AW46+AX46+AY46</f>
        <v>4</v>
      </c>
      <c r="BA46" s="30">
        <f aca="true" t="shared" si="81" ref="BA46:BA51">IF(ISNUMBER(G46),G46,0)+IF(ISNUMBER(K46),K46,0)+IF(ISNUMBER(O46),O46,0)+IF(ISNUMBER(AA46),AA46,0)+IF(ISNUMBER(AE46),AE46,0)+IF(ISNUMBER(AM46),AM46,0)+IF(ISNUMBER(S46),S46,0)+IF(ISNUMBER(W46),W46,0)+IF(ISNUMBER(C46),C46,0)+IF(ISNUMBER(AQ46),AQ46,0)+IF(ISNUMBER(AI46),AI46,0)</f>
        <v>47</v>
      </c>
      <c r="BB46" s="30">
        <f aca="true" t="shared" si="82" ref="BB46:BB51">IF(ISNUMBER(I46),I46,0)+IF(ISNUMBER(M46),M46,0)+IF(ISNUMBER(Q46),Q46,0)+IF(ISNUMBER(AC46),AC46,0)+IF(ISNUMBER(AG46),AG46,0)+IF(ISNUMBER(AO46),AO46,0)+IF(ISNUMBER(U46),U46,0)+IF(ISNUMBER(Y46),Y46,0)+IF(ISNUMBER(E46),E46,0)+IF(ISNUMBER(AS46),AS46,0)+IF(ISNUMBER(AK46),AK46,0)</f>
        <v>31</v>
      </c>
      <c r="BC46" s="30">
        <f aca="true" t="shared" si="83" ref="BC46:BC51">BA46-BB46</f>
        <v>16</v>
      </c>
      <c r="BF46" s="42">
        <f>BK46+COUNTIF(BK$45:BK45,BK46)</f>
        <v>3</v>
      </c>
      <c r="BG46" s="44" t="str">
        <f aca="true" t="shared" si="84" ref="BG46:BG51">+A46</f>
        <v>セントラルパークス</v>
      </c>
      <c r="BH46" s="42">
        <f aca="true" t="shared" si="85" ref="BH46:BH51">+AZ46</f>
        <v>4</v>
      </c>
      <c r="BI46" s="42">
        <f aca="true" t="shared" si="86" ref="BI46:BI51">+AT46</f>
        <v>2</v>
      </c>
      <c r="BJ46" s="42">
        <f aca="true" t="shared" si="87" ref="BJ46:BJ51">+AT46+AU46+AV46</f>
        <v>5</v>
      </c>
      <c r="BK46" s="42">
        <f aca="true" t="shared" si="88" ref="BK46:BK51">RANK(BH46,BH$46:BH$51)</f>
        <v>3</v>
      </c>
      <c r="BL46" s="43">
        <f aca="true" t="shared" si="89" ref="BL46:BL51">VLOOKUP(ROW(BF1),$BF$46:$BK$51,6,FALSE)</f>
        <v>1</v>
      </c>
      <c r="BM46" s="45" t="str">
        <f aca="true" t="shared" si="90" ref="BM46:BM51">VLOOKUP(ROW(BF1),$BF$46:$BK$51,2,FALSE)</f>
        <v>牧の原ジュニアーズ</v>
      </c>
      <c r="BN46" s="45">
        <f aca="true" t="shared" si="91" ref="BN46:BN51">VLOOKUP(ROW(BF1),$BF$46:$BK$51,3,FALSE)</f>
        <v>8</v>
      </c>
      <c r="BO46" s="45">
        <f aca="true" t="shared" si="92" ref="BO46:BO51">VLOOKUP(ROW(BF1),$BF$46:$BK$51,4,FALSE)</f>
        <v>4</v>
      </c>
      <c r="BP46" s="45">
        <f aca="true" t="shared" si="93" ref="BP46:BP51">VLOOKUP(ROW(BF1),$BF$46:$BK$51,5,FALSE)</f>
        <v>5</v>
      </c>
      <c r="BQ46" s="55"/>
      <c r="BS46" s="42">
        <f>BV46+COUNTIF(BV$45:BV45,BV46)</f>
        <v>1</v>
      </c>
      <c r="BT46" s="44" t="str">
        <f aca="true" t="shared" si="94" ref="BT46:BT51">+BG46</f>
        <v>セントラルパークス</v>
      </c>
      <c r="BU46" s="42">
        <f aca="true" t="shared" si="95" ref="BU46:BU51">COUNT(B46:Y46)/2</f>
        <v>5</v>
      </c>
      <c r="BV46" s="42">
        <f aca="true" t="shared" si="96" ref="BV46:BV51">RANK(BU46,BU$46:BU$51)</f>
        <v>1</v>
      </c>
      <c r="BW46" s="43">
        <f aca="true" t="shared" si="97" ref="BW46:BW51">VLOOKUP(ROW(BS1),$BS$46:$BV$51,4,FALSE)</f>
        <v>1</v>
      </c>
      <c r="BX46" s="45" t="str">
        <f aca="true" t="shared" si="98" ref="BX46:BX51">VLOOKUP(ROW(BT1),$BS$46:$BV$51,2,FALSE)</f>
        <v>セントラルパークス</v>
      </c>
    </row>
    <row r="47" spans="1:76" ht="19.5" customHeight="1">
      <c r="A47" s="79" t="s">
        <v>83</v>
      </c>
      <c r="B47" s="37"/>
      <c r="C47" s="37">
        <v>5</v>
      </c>
      <c r="D47" s="37"/>
      <c r="E47" s="38">
        <v>13</v>
      </c>
      <c r="F47" s="36"/>
      <c r="G47" s="37"/>
      <c r="H47" s="37"/>
      <c r="I47" s="38"/>
      <c r="J47" s="36"/>
      <c r="K47" s="37">
        <f>IF(I48="","",I48)</f>
        <v>5</v>
      </c>
      <c r="L47" s="37"/>
      <c r="M47" s="38">
        <f>IF(G48="","",G48)</f>
        <v>21</v>
      </c>
      <c r="N47" s="36"/>
      <c r="O47" s="37">
        <f>IF(I49="","",I49)</f>
      </c>
      <c r="P47" s="37"/>
      <c r="Q47" s="38">
        <f>IF(G49="","",G49)</f>
      </c>
      <c r="R47" s="36"/>
      <c r="S47" s="37">
        <f>IF(I50="","",I50)</f>
        <v>12</v>
      </c>
      <c r="T47" s="37"/>
      <c r="U47" s="38">
        <f>IF(G50="","",G50)</f>
        <v>13</v>
      </c>
      <c r="V47" s="36"/>
      <c r="W47" s="37">
        <f>IF(I51="","",I51)</f>
        <v>0</v>
      </c>
      <c r="X47" s="37"/>
      <c r="Y47" s="38">
        <f>IF(G51="","",G51)</f>
        <v>1</v>
      </c>
      <c r="Z47" s="36"/>
      <c r="AA47" s="37">
        <f>IF(I52="","",I52)</f>
      </c>
      <c r="AB47" s="37"/>
      <c r="AC47" s="38">
        <f>IF(G52="","",G52)</f>
      </c>
      <c r="AD47" s="36"/>
      <c r="AE47" s="37">
        <f>IF(I53="","",I53)</f>
      </c>
      <c r="AF47" s="37"/>
      <c r="AG47" s="38">
        <f>IF(G53="","",G53)</f>
      </c>
      <c r="AH47" s="36"/>
      <c r="AI47" s="37">
        <f>IF(I54="","",I54)</f>
      </c>
      <c r="AJ47" s="37"/>
      <c r="AK47" s="38">
        <f>IF(G54="","",G54)</f>
      </c>
      <c r="AL47" s="36"/>
      <c r="AM47" s="37">
        <f>IF(I55="","",I55)</f>
      </c>
      <c r="AN47" s="37"/>
      <c r="AO47" s="38">
        <f>IF(G55="","",G55)</f>
      </c>
      <c r="AP47" s="36"/>
      <c r="AQ47" s="37">
        <f>IF(I56="","",I56)</f>
      </c>
      <c r="AR47" s="37"/>
      <c r="AS47" s="38">
        <f>IF(G56="","",G56)</f>
      </c>
      <c r="AT47" s="40">
        <f t="shared" si="74"/>
        <v>0</v>
      </c>
      <c r="AU47" s="30">
        <f t="shared" si="75"/>
        <v>4</v>
      </c>
      <c r="AV47" s="30">
        <f t="shared" si="76"/>
        <v>0</v>
      </c>
      <c r="AW47" s="31">
        <f t="shared" si="77"/>
        <v>0</v>
      </c>
      <c r="AX47" s="32">
        <f t="shared" si="78"/>
        <v>0</v>
      </c>
      <c r="AY47" s="33">
        <f t="shared" si="79"/>
        <v>0</v>
      </c>
      <c r="AZ47" s="34">
        <f t="shared" si="80"/>
        <v>0</v>
      </c>
      <c r="BA47" s="30">
        <f t="shared" si="81"/>
        <v>22</v>
      </c>
      <c r="BB47" s="30">
        <f t="shared" si="82"/>
        <v>48</v>
      </c>
      <c r="BC47" s="30">
        <f t="shared" si="83"/>
        <v>-26</v>
      </c>
      <c r="BF47" s="42">
        <f>BK47+COUNTIF(BK$45:BK46,BK47)</f>
        <v>6</v>
      </c>
      <c r="BG47" s="44" t="str">
        <f t="shared" si="84"/>
        <v>松戸KSカージナルス
</v>
      </c>
      <c r="BH47" s="42">
        <f t="shared" si="85"/>
        <v>0</v>
      </c>
      <c r="BI47" s="42">
        <f t="shared" si="86"/>
        <v>0</v>
      </c>
      <c r="BJ47" s="42">
        <f t="shared" si="87"/>
        <v>4</v>
      </c>
      <c r="BK47" s="42">
        <f t="shared" si="88"/>
        <v>6</v>
      </c>
      <c r="BL47" s="43">
        <f t="shared" si="89"/>
        <v>1</v>
      </c>
      <c r="BM47" s="45" t="str">
        <f t="shared" si="90"/>
        <v>吉川ドリームズ</v>
      </c>
      <c r="BN47" s="45">
        <f t="shared" si="91"/>
        <v>8</v>
      </c>
      <c r="BO47" s="45">
        <f t="shared" si="92"/>
        <v>4</v>
      </c>
      <c r="BP47" s="45">
        <f t="shared" si="93"/>
        <v>5</v>
      </c>
      <c r="BQ47" s="55"/>
      <c r="BS47" s="42">
        <f>BV47+COUNTIF(BV$45:BV46,BV47)</f>
        <v>5</v>
      </c>
      <c r="BT47" s="44" t="str">
        <f t="shared" si="94"/>
        <v>松戸KSカージナルス
</v>
      </c>
      <c r="BU47" s="42">
        <f t="shared" si="95"/>
        <v>4</v>
      </c>
      <c r="BV47" s="42">
        <f t="shared" si="96"/>
        <v>5</v>
      </c>
      <c r="BW47" s="43">
        <f t="shared" si="97"/>
        <v>1</v>
      </c>
      <c r="BX47" s="45" t="str">
        <f t="shared" si="98"/>
        <v>牧の原ジュニアーズ</v>
      </c>
    </row>
    <row r="48" spans="1:76" ht="19.5" customHeight="1">
      <c r="A48" s="79" t="s">
        <v>67</v>
      </c>
      <c r="B48" s="36"/>
      <c r="C48" s="37">
        <v>7</v>
      </c>
      <c r="D48" s="37"/>
      <c r="E48" s="38">
        <v>5</v>
      </c>
      <c r="F48" s="36"/>
      <c r="G48" s="37">
        <v>21</v>
      </c>
      <c r="H48" s="37"/>
      <c r="I48" s="38">
        <v>5</v>
      </c>
      <c r="J48" s="36"/>
      <c r="K48" s="37"/>
      <c r="L48" s="37"/>
      <c r="M48" s="38"/>
      <c r="N48" s="36"/>
      <c r="O48" s="37">
        <f>IF(M49="","",M49)</f>
        <v>9</v>
      </c>
      <c r="P48" s="37"/>
      <c r="Q48" s="38">
        <f>IF(K49="","",K49)</f>
        <v>8</v>
      </c>
      <c r="R48" s="36"/>
      <c r="S48" s="37">
        <f>IF(M50="","",M50)</f>
        <v>6</v>
      </c>
      <c r="T48" s="37"/>
      <c r="U48" s="38">
        <f>IF(K50="","",K50)</f>
        <v>7</v>
      </c>
      <c r="V48" s="36"/>
      <c r="W48" s="37">
        <f>IF(M51="","",M51)</f>
        <v>7</v>
      </c>
      <c r="X48" s="37"/>
      <c r="Y48" s="38">
        <f>IF(K51="","",K51)</f>
        <v>6</v>
      </c>
      <c r="Z48" s="36"/>
      <c r="AA48" s="37">
        <f>IF(M52="","",M52)</f>
      </c>
      <c r="AB48" s="37"/>
      <c r="AC48" s="38">
        <f>IF(K52="","",K52)</f>
      </c>
      <c r="AD48" s="36"/>
      <c r="AE48" s="37">
        <f>IF(M53="","",M53)</f>
      </c>
      <c r="AF48" s="37"/>
      <c r="AG48" s="38">
        <f>IF(K53="","",K53)</f>
      </c>
      <c r="AH48" s="36"/>
      <c r="AI48" s="37">
        <f>IF(M54="","",M54)</f>
      </c>
      <c r="AJ48" s="37"/>
      <c r="AK48" s="38">
        <f>IF(K54="","",K54)</f>
      </c>
      <c r="AL48" s="36"/>
      <c r="AM48" s="37">
        <f>IF(M55="","",M55)</f>
      </c>
      <c r="AN48" s="37"/>
      <c r="AO48" s="38">
        <f>IF(K55="","",K55)</f>
      </c>
      <c r="AP48" s="36"/>
      <c r="AQ48" s="37">
        <f>IF(M56="","",M56)</f>
      </c>
      <c r="AR48" s="37"/>
      <c r="AS48" s="38">
        <f>IF(K56="","",K56)</f>
      </c>
      <c r="AT48" s="40">
        <f t="shared" si="74"/>
        <v>4</v>
      </c>
      <c r="AU48" s="30">
        <f t="shared" si="75"/>
        <v>1</v>
      </c>
      <c r="AV48" s="30">
        <f t="shared" si="76"/>
        <v>0</v>
      </c>
      <c r="AW48" s="31">
        <f t="shared" si="77"/>
        <v>8</v>
      </c>
      <c r="AX48" s="32">
        <f t="shared" si="78"/>
        <v>0</v>
      </c>
      <c r="AY48" s="33">
        <f t="shared" si="79"/>
        <v>0</v>
      </c>
      <c r="AZ48" s="34">
        <f t="shared" si="80"/>
        <v>8</v>
      </c>
      <c r="BA48" s="30">
        <f t="shared" si="81"/>
        <v>50</v>
      </c>
      <c r="BB48" s="30">
        <f t="shared" si="82"/>
        <v>31</v>
      </c>
      <c r="BC48" s="30">
        <f t="shared" si="83"/>
        <v>19</v>
      </c>
      <c r="BF48" s="42">
        <f>BK48+COUNTIF(BK$45:BK47,BK48)</f>
        <v>1</v>
      </c>
      <c r="BG48" s="44" t="str">
        <f t="shared" si="84"/>
        <v>牧の原ジュニアーズ</v>
      </c>
      <c r="BH48" s="42">
        <f t="shared" si="85"/>
        <v>8</v>
      </c>
      <c r="BI48" s="42">
        <f t="shared" si="86"/>
        <v>4</v>
      </c>
      <c r="BJ48" s="42">
        <f t="shared" si="87"/>
        <v>5</v>
      </c>
      <c r="BK48" s="42">
        <f t="shared" si="88"/>
        <v>1</v>
      </c>
      <c r="BL48" s="43">
        <f t="shared" si="89"/>
        <v>3</v>
      </c>
      <c r="BM48" s="45" t="str">
        <f t="shared" si="90"/>
        <v>セントラルパークス</v>
      </c>
      <c r="BN48" s="45">
        <f t="shared" si="91"/>
        <v>4</v>
      </c>
      <c r="BO48" s="45">
        <f t="shared" si="92"/>
        <v>2</v>
      </c>
      <c r="BP48" s="45">
        <f t="shared" si="93"/>
        <v>5</v>
      </c>
      <c r="BQ48" s="55"/>
      <c r="BS48" s="42">
        <f>BV48+COUNTIF(BV$45:BV47,BV48)</f>
        <v>2</v>
      </c>
      <c r="BT48" s="44" t="str">
        <f t="shared" si="94"/>
        <v>牧の原ジュニアーズ</v>
      </c>
      <c r="BU48" s="42">
        <f t="shared" si="95"/>
        <v>5</v>
      </c>
      <c r="BV48" s="42">
        <f t="shared" si="96"/>
        <v>1</v>
      </c>
      <c r="BW48" s="43">
        <f t="shared" si="97"/>
        <v>1</v>
      </c>
      <c r="BX48" s="45" t="str">
        <f t="shared" si="98"/>
        <v>長崎ＦＬＢ</v>
      </c>
    </row>
    <row r="49" spans="1:76" ht="19.5" customHeight="1">
      <c r="A49" s="79" t="s">
        <v>76</v>
      </c>
      <c r="B49" s="36"/>
      <c r="C49" s="37">
        <v>8</v>
      </c>
      <c r="D49" s="37"/>
      <c r="E49" s="38">
        <v>4</v>
      </c>
      <c r="F49" s="36"/>
      <c r="G49" s="37"/>
      <c r="H49" s="37"/>
      <c r="I49" s="38"/>
      <c r="J49" s="36"/>
      <c r="K49" s="37">
        <v>8</v>
      </c>
      <c r="L49" s="37"/>
      <c r="M49" s="38">
        <v>9</v>
      </c>
      <c r="N49" s="36"/>
      <c r="O49" s="37"/>
      <c r="P49" s="37"/>
      <c r="Q49" s="38"/>
      <c r="R49" s="36"/>
      <c r="S49" s="37">
        <f>IF(Q50="","",Q50)</f>
        <v>10</v>
      </c>
      <c r="T49" s="37"/>
      <c r="U49" s="38">
        <f>IF(O50="","",O50)</f>
        <v>6</v>
      </c>
      <c r="V49" s="36"/>
      <c r="W49" s="37">
        <f>IF(Q51="","",Q51)</f>
        <v>0</v>
      </c>
      <c r="X49" s="37"/>
      <c r="Y49" s="38">
        <f>IF(O51="","",O51)</f>
        <v>1</v>
      </c>
      <c r="Z49" s="36"/>
      <c r="AA49" s="37">
        <f>IF(Q52="","",Q52)</f>
      </c>
      <c r="AB49" s="37"/>
      <c r="AC49" s="38">
        <f>IF(O52="","",O52)</f>
      </c>
      <c r="AD49" s="36"/>
      <c r="AE49" s="37">
        <f>IF(Q53="","",Q53)</f>
      </c>
      <c r="AF49" s="37"/>
      <c r="AG49" s="38">
        <f>IF(O53="","",O53)</f>
      </c>
      <c r="AH49" s="36"/>
      <c r="AI49" s="37">
        <f>IF(Q54="","",Q54)</f>
      </c>
      <c r="AJ49" s="37"/>
      <c r="AK49" s="38">
        <f>IF(O54="","",O54)</f>
      </c>
      <c r="AL49" s="36"/>
      <c r="AM49" s="37">
        <f>IF(Q55="","",Q55)</f>
      </c>
      <c r="AN49" s="37"/>
      <c r="AO49" s="38">
        <f>IF(O55="","",O55)</f>
      </c>
      <c r="AP49" s="36"/>
      <c r="AQ49" s="37">
        <f>IF(Q56="","",Q56)</f>
      </c>
      <c r="AR49" s="37"/>
      <c r="AS49" s="38">
        <f>IF(O56="","",O56)</f>
      </c>
      <c r="AT49" s="40">
        <f t="shared" si="74"/>
        <v>2</v>
      </c>
      <c r="AU49" s="30">
        <f t="shared" si="75"/>
        <v>2</v>
      </c>
      <c r="AV49" s="30">
        <f t="shared" si="76"/>
        <v>0</v>
      </c>
      <c r="AW49" s="31">
        <f t="shared" si="77"/>
        <v>4</v>
      </c>
      <c r="AX49" s="32">
        <f t="shared" si="78"/>
        <v>0</v>
      </c>
      <c r="AY49" s="33">
        <f t="shared" si="79"/>
        <v>0</v>
      </c>
      <c r="AZ49" s="34">
        <f t="shared" si="80"/>
        <v>4</v>
      </c>
      <c r="BA49" s="30">
        <f t="shared" si="81"/>
        <v>26</v>
      </c>
      <c r="BB49" s="30">
        <f t="shared" si="82"/>
        <v>20</v>
      </c>
      <c r="BC49" s="30">
        <f t="shared" si="83"/>
        <v>6</v>
      </c>
      <c r="BF49" s="42">
        <f>BK49+COUNTIF(BK$45:BK48,BK49)</f>
        <v>4</v>
      </c>
      <c r="BG49" s="44" t="str">
        <f t="shared" si="84"/>
        <v>酒井根東グリーンズ</v>
      </c>
      <c r="BH49" s="42">
        <f t="shared" si="85"/>
        <v>4</v>
      </c>
      <c r="BI49" s="42">
        <f t="shared" si="86"/>
        <v>2</v>
      </c>
      <c r="BJ49" s="42">
        <f t="shared" si="87"/>
        <v>4</v>
      </c>
      <c r="BK49" s="42">
        <f t="shared" si="88"/>
        <v>3</v>
      </c>
      <c r="BL49" s="43">
        <f t="shared" si="89"/>
        <v>3</v>
      </c>
      <c r="BM49" s="45" t="str">
        <f t="shared" si="90"/>
        <v>酒井根東グリーンズ</v>
      </c>
      <c r="BN49" s="45">
        <f t="shared" si="91"/>
        <v>4</v>
      </c>
      <c r="BO49" s="45">
        <f t="shared" si="92"/>
        <v>2</v>
      </c>
      <c r="BP49" s="45">
        <f t="shared" si="93"/>
        <v>4</v>
      </c>
      <c r="BQ49" s="55"/>
      <c r="BS49" s="42">
        <f>BV49+COUNTIF(BV$45:BV48,BV49)</f>
        <v>6</v>
      </c>
      <c r="BT49" s="44" t="str">
        <f t="shared" si="94"/>
        <v>酒井根東グリーンズ</v>
      </c>
      <c r="BU49" s="42">
        <f t="shared" si="95"/>
        <v>4</v>
      </c>
      <c r="BV49" s="42">
        <f t="shared" si="96"/>
        <v>5</v>
      </c>
      <c r="BW49" s="43">
        <f t="shared" si="97"/>
        <v>1</v>
      </c>
      <c r="BX49" s="45" t="str">
        <f t="shared" si="98"/>
        <v>吉川ドリームズ</v>
      </c>
    </row>
    <row r="50" spans="1:76" ht="19.5" customHeight="1">
      <c r="A50" s="79" t="s">
        <v>71</v>
      </c>
      <c r="B50" s="36"/>
      <c r="C50" s="37">
        <v>1</v>
      </c>
      <c r="D50" s="37"/>
      <c r="E50" s="38">
        <v>19</v>
      </c>
      <c r="F50" s="36"/>
      <c r="G50" s="37">
        <v>13</v>
      </c>
      <c r="H50" s="37"/>
      <c r="I50" s="38">
        <v>12</v>
      </c>
      <c r="J50" s="36"/>
      <c r="K50" s="37">
        <v>7</v>
      </c>
      <c r="L50" s="37"/>
      <c r="M50" s="38">
        <v>6</v>
      </c>
      <c r="N50" s="36"/>
      <c r="O50" s="37">
        <v>6</v>
      </c>
      <c r="P50" s="37"/>
      <c r="Q50" s="38">
        <v>10</v>
      </c>
      <c r="R50" s="36"/>
      <c r="S50" s="37"/>
      <c r="T50" s="37"/>
      <c r="U50" s="38"/>
      <c r="V50" s="36"/>
      <c r="W50" s="37">
        <f>IF(U51="","",U51)</f>
        <v>3</v>
      </c>
      <c r="X50" s="37"/>
      <c r="Y50" s="38">
        <f>IF(S51="","",S51)</f>
        <v>12</v>
      </c>
      <c r="Z50" s="36"/>
      <c r="AA50" s="37">
        <f>IF(U52="","",U52)</f>
      </c>
      <c r="AB50" s="37"/>
      <c r="AC50" s="38">
        <f>IF(S52="","",S52)</f>
      </c>
      <c r="AD50" s="36"/>
      <c r="AE50" s="37">
        <f>IF(U53="","",U53)</f>
      </c>
      <c r="AF50" s="37"/>
      <c r="AG50" s="38">
        <f>IF(S53="","",S53)</f>
      </c>
      <c r="AH50" s="36"/>
      <c r="AI50" s="37">
        <f>IF(U54="","",U54)</f>
      </c>
      <c r="AJ50" s="37"/>
      <c r="AK50" s="38">
        <f>IF(S54="","",S54)</f>
      </c>
      <c r="AL50" s="36"/>
      <c r="AM50" s="37">
        <f>IF(U55="","",U55)</f>
      </c>
      <c r="AN50" s="37"/>
      <c r="AO50" s="38">
        <f>IF(S55="","",S55)</f>
      </c>
      <c r="AP50" s="36"/>
      <c r="AQ50" s="37">
        <f>IF(U56="","",U56)</f>
      </c>
      <c r="AR50" s="37"/>
      <c r="AS50" s="38">
        <f>IF(S56="","",S56)</f>
      </c>
      <c r="AT50" s="40">
        <f t="shared" si="74"/>
        <v>2</v>
      </c>
      <c r="AU50" s="30">
        <f t="shared" si="75"/>
        <v>3</v>
      </c>
      <c r="AV50" s="30">
        <f t="shared" si="76"/>
        <v>0</v>
      </c>
      <c r="AW50" s="31">
        <f t="shared" si="77"/>
        <v>4</v>
      </c>
      <c r="AX50" s="32">
        <f t="shared" si="78"/>
        <v>0</v>
      </c>
      <c r="AY50" s="33">
        <f t="shared" si="79"/>
        <v>0</v>
      </c>
      <c r="AZ50" s="34">
        <f t="shared" si="80"/>
        <v>4</v>
      </c>
      <c r="BA50" s="30">
        <f t="shared" si="81"/>
        <v>30</v>
      </c>
      <c r="BB50" s="30">
        <f t="shared" si="82"/>
        <v>59</v>
      </c>
      <c r="BC50" s="30">
        <f t="shared" si="83"/>
        <v>-29</v>
      </c>
      <c r="BF50" s="42">
        <f>BK50+COUNTIF(BK$45:BK49,BK50)</f>
        <v>5</v>
      </c>
      <c r="BG50" s="44" t="str">
        <f t="shared" si="84"/>
        <v>長崎ＦＬＢ</v>
      </c>
      <c r="BH50" s="42">
        <f t="shared" si="85"/>
        <v>4</v>
      </c>
      <c r="BI50" s="42">
        <f t="shared" si="86"/>
        <v>2</v>
      </c>
      <c r="BJ50" s="42">
        <f t="shared" si="87"/>
        <v>5</v>
      </c>
      <c r="BK50" s="42">
        <f t="shared" si="88"/>
        <v>3</v>
      </c>
      <c r="BL50" s="43">
        <f t="shared" si="89"/>
        <v>3</v>
      </c>
      <c r="BM50" s="45" t="str">
        <f t="shared" si="90"/>
        <v>長崎ＦＬＢ</v>
      </c>
      <c r="BN50" s="45">
        <f t="shared" si="91"/>
        <v>4</v>
      </c>
      <c r="BO50" s="45">
        <f t="shared" si="92"/>
        <v>2</v>
      </c>
      <c r="BP50" s="45">
        <f t="shared" si="93"/>
        <v>5</v>
      </c>
      <c r="BQ50" s="55"/>
      <c r="BS50" s="42">
        <f>BV50+COUNTIF(BV$45:BV49,BV50)</f>
        <v>3</v>
      </c>
      <c r="BT50" s="44" t="str">
        <f t="shared" si="94"/>
        <v>長崎ＦＬＢ</v>
      </c>
      <c r="BU50" s="42">
        <f t="shared" si="95"/>
        <v>5</v>
      </c>
      <c r="BV50" s="42">
        <f t="shared" si="96"/>
        <v>1</v>
      </c>
      <c r="BW50" s="43">
        <f t="shared" si="97"/>
        <v>5</v>
      </c>
      <c r="BX50" s="45" t="str">
        <f t="shared" si="98"/>
        <v>松戸KSカージナルス
</v>
      </c>
    </row>
    <row r="51" spans="1:76" ht="19.5" customHeight="1">
      <c r="A51" s="79" t="s">
        <v>74</v>
      </c>
      <c r="B51" s="36"/>
      <c r="C51" s="37">
        <v>10</v>
      </c>
      <c r="D51" s="37"/>
      <c r="E51" s="38">
        <v>6</v>
      </c>
      <c r="F51" s="36"/>
      <c r="G51" s="37">
        <v>1</v>
      </c>
      <c r="H51" s="37"/>
      <c r="I51" s="38">
        <v>0</v>
      </c>
      <c r="J51" s="36"/>
      <c r="K51" s="37">
        <v>6</v>
      </c>
      <c r="L51" s="37"/>
      <c r="M51" s="38">
        <v>7</v>
      </c>
      <c r="N51" s="36"/>
      <c r="O51" s="37">
        <v>1</v>
      </c>
      <c r="P51" s="37"/>
      <c r="Q51" s="38">
        <v>0</v>
      </c>
      <c r="R51" s="36"/>
      <c r="S51" s="37">
        <v>12</v>
      </c>
      <c r="T51" s="37"/>
      <c r="U51" s="38">
        <v>3</v>
      </c>
      <c r="V51" s="36"/>
      <c r="W51" s="37"/>
      <c r="X51" s="37"/>
      <c r="Y51" s="38"/>
      <c r="Z51" s="36"/>
      <c r="AA51" s="37">
        <f>IF(Y52="","",Y52)</f>
      </c>
      <c r="AB51" s="37"/>
      <c r="AC51" s="38">
        <f>IF(W52="","",W52)</f>
      </c>
      <c r="AD51" s="36"/>
      <c r="AE51" s="37">
        <f>IF(Y53="","",Y53)</f>
      </c>
      <c r="AF51" s="37"/>
      <c r="AG51" s="38">
        <f>IF(W53="","",W53)</f>
      </c>
      <c r="AH51" s="36"/>
      <c r="AI51" s="37">
        <f>IF(Y54="","",Y54)</f>
      </c>
      <c r="AJ51" s="37"/>
      <c r="AK51" s="38">
        <f>IF(W54="","",W54)</f>
      </c>
      <c r="AL51" s="36"/>
      <c r="AM51" s="37">
        <f>IF(Y55="","",Y55)</f>
      </c>
      <c r="AN51" s="37"/>
      <c r="AO51" s="38">
        <f>IF(W55="","",W55)</f>
      </c>
      <c r="AP51" s="36"/>
      <c r="AQ51" s="37">
        <f>IF(Y56="","",Y56)</f>
      </c>
      <c r="AR51" s="37"/>
      <c r="AS51" s="38">
        <f>IF(W56="","",W56)</f>
      </c>
      <c r="AT51" s="40">
        <f t="shared" si="74"/>
        <v>4</v>
      </c>
      <c r="AU51" s="30">
        <f t="shared" si="75"/>
        <v>1</v>
      </c>
      <c r="AV51" s="30">
        <f t="shared" si="76"/>
        <v>0</v>
      </c>
      <c r="AW51" s="31">
        <f t="shared" si="77"/>
        <v>8</v>
      </c>
      <c r="AX51" s="32">
        <f t="shared" si="78"/>
        <v>0</v>
      </c>
      <c r="AY51" s="33">
        <f t="shared" si="79"/>
        <v>0</v>
      </c>
      <c r="AZ51" s="34">
        <f t="shared" si="80"/>
        <v>8</v>
      </c>
      <c r="BA51" s="30">
        <f t="shared" si="81"/>
        <v>30</v>
      </c>
      <c r="BB51" s="30">
        <f t="shared" si="82"/>
        <v>16</v>
      </c>
      <c r="BC51" s="30">
        <f t="shared" si="83"/>
        <v>14</v>
      </c>
      <c r="BF51" s="42">
        <f>BK51+COUNTIF(BK$45:BK50,BK51)</f>
        <v>2</v>
      </c>
      <c r="BG51" s="44" t="str">
        <f t="shared" si="84"/>
        <v>吉川ドリームズ</v>
      </c>
      <c r="BH51" s="42">
        <f t="shared" si="85"/>
        <v>8</v>
      </c>
      <c r="BI51" s="42">
        <f t="shared" si="86"/>
        <v>4</v>
      </c>
      <c r="BJ51" s="42">
        <f t="shared" si="87"/>
        <v>5</v>
      </c>
      <c r="BK51" s="42">
        <f t="shared" si="88"/>
        <v>1</v>
      </c>
      <c r="BL51" s="43">
        <f t="shared" si="89"/>
        <v>6</v>
      </c>
      <c r="BM51" s="45" t="str">
        <f t="shared" si="90"/>
        <v>松戸KSカージナルス
</v>
      </c>
      <c r="BN51" s="45">
        <f t="shared" si="91"/>
        <v>0</v>
      </c>
      <c r="BO51" s="45">
        <f t="shared" si="92"/>
        <v>0</v>
      </c>
      <c r="BP51" s="45">
        <f t="shared" si="93"/>
        <v>4</v>
      </c>
      <c r="BQ51" s="55"/>
      <c r="BS51" s="42">
        <f>BV51+COUNTIF(BV$45:BV50,BV51)</f>
        <v>4</v>
      </c>
      <c r="BT51" s="44" t="str">
        <f t="shared" si="94"/>
        <v>吉川ドリームズ</v>
      </c>
      <c r="BU51" s="42">
        <f t="shared" si="95"/>
        <v>5</v>
      </c>
      <c r="BV51" s="42">
        <f t="shared" si="96"/>
        <v>1</v>
      </c>
      <c r="BW51" s="43">
        <f t="shared" si="97"/>
        <v>5</v>
      </c>
      <c r="BX51" s="45" t="str">
        <f t="shared" si="98"/>
        <v>酒井根東グリーンズ</v>
      </c>
    </row>
    <row r="52" spans="1:76" ht="19.5" customHeight="1">
      <c r="A52" s="79"/>
      <c r="B52" s="36"/>
      <c r="C52" s="37"/>
      <c r="D52" s="37"/>
      <c r="E52" s="38"/>
      <c r="F52" s="36"/>
      <c r="G52" s="37"/>
      <c r="H52" s="37"/>
      <c r="I52" s="38"/>
      <c r="J52" s="36"/>
      <c r="K52" s="37"/>
      <c r="L52" s="37"/>
      <c r="M52" s="38"/>
      <c r="N52" s="36"/>
      <c r="O52" s="37"/>
      <c r="P52" s="37"/>
      <c r="Q52" s="38"/>
      <c r="R52" s="36"/>
      <c r="S52" s="37"/>
      <c r="T52" s="37"/>
      <c r="U52" s="38"/>
      <c r="V52" s="36"/>
      <c r="W52" s="37"/>
      <c r="X52" s="37"/>
      <c r="Y52" s="38"/>
      <c r="Z52" s="36"/>
      <c r="AA52" s="37"/>
      <c r="AB52" s="37"/>
      <c r="AC52" s="38"/>
      <c r="AD52" s="36"/>
      <c r="AE52" s="37">
        <f>IF(AC53="","",AC53)</f>
      </c>
      <c r="AF52" s="37"/>
      <c r="AG52" s="38">
        <f>IF(AA53="","",AA53)</f>
      </c>
      <c r="AH52" s="36"/>
      <c r="AI52" s="37">
        <f>IF(AC54="","",AC54)</f>
      </c>
      <c r="AJ52" s="37"/>
      <c r="AK52" s="38">
        <f>IF(AA54="","",AA54)</f>
      </c>
      <c r="AL52" s="36"/>
      <c r="AM52" s="37">
        <f>IF(AC55="","",AC55)</f>
      </c>
      <c r="AN52" s="37"/>
      <c r="AO52" s="38">
        <f>IF(AA55="","",AA55)</f>
      </c>
      <c r="AP52" s="36"/>
      <c r="AQ52" s="37">
        <f>IF(AC56="","",AC56)</f>
      </c>
      <c r="AR52" s="37"/>
      <c r="AS52" s="38">
        <f>IF(AA56="","",AA56)</f>
      </c>
      <c r="AT52" s="40"/>
      <c r="AU52" s="30"/>
      <c r="AV52" s="30"/>
      <c r="AW52" s="31"/>
      <c r="AX52" s="32"/>
      <c r="AY52" s="33"/>
      <c r="AZ52" s="34"/>
      <c r="BA52" s="30"/>
      <c r="BB52" s="30"/>
      <c r="BC52" s="30"/>
      <c r="BF52" s="42"/>
      <c r="BG52" s="44"/>
      <c r="BH52" s="42"/>
      <c r="BI52" s="42"/>
      <c r="BJ52" s="42"/>
      <c r="BK52" s="42"/>
      <c r="BL52" s="43"/>
      <c r="BM52" s="45"/>
      <c r="BN52" s="45"/>
      <c r="BO52" s="45"/>
      <c r="BP52" s="45"/>
      <c r="BQ52" s="55"/>
      <c r="BS52" s="42"/>
      <c r="BT52" s="44"/>
      <c r="BU52" s="42"/>
      <c r="BV52" s="42"/>
      <c r="BW52" s="43"/>
      <c r="BX52" s="45"/>
    </row>
    <row r="53" spans="1:76" ht="19.5" customHeight="1">
      <c r="A53" s="79"/>
      <c r="B53" s="36"/>
      <c r="C53" s="37"/>
      <c r="D53" s="37"/>
      <c r="E53" s="38"/>
      <c r="F53" s="36"/>
      <c r="G53" s="37"/>
      <c r="H53" s="37"/>
      <c r="I53" s="38"/>
      <c r="J53" s="36"/>
      <c r="K53" s="37"/>
      <c r="L53" s="37"/>
      <c r="M53" s="38"/>
      <c r="N53" s="36"/>
      <c r="O53" s="37"/>
      <c r="P53" s="37"/>
      <c r="Q53" s="38"/>
      <c r="R53" s="36"/>
      <c r="S53" s="37"/>
      <c r="T53" s="37"/>
      <c r="U53" s="38"/>
      <c r="V53" s="36"/>
      <c r="W53" s="37"/>
      <c r="X53" s="37"/>
      <c r="Y53" s="38"/>
      <c r="Z53" s="36"/>
      <c r="AA53" s="37"/>
      <c r="AB53" s="37"/>
      <c r="AC53" s="38"/>
      <c r="AD53" s="36"/>
      <c r="AE53" s="37"/>
      <c r="AF53" s="37"/>
      <c r="AG53" s="38"/>
      <c r="AH53" s="36"/>
      <c r="AI53" s="37">
        <f>IF(AG54="","",AG54)</f>
      </c>
      <c r="AJ53" s="37"/>
      <c r="AK53" s="38">
        <f>IF(AE54="","",AE54)</f>
      </c>
      <c r="AL53" s="36"/>
      <c r="AM53" s="37">
        <f>IF(AG55="","",AG55)</f>
      </c>
      <c r="AN53" s="37"/>
      <c r="AO53" s="38">
        <f>IF(AE55="","",AE55)</f>
      </c>
      <c r="AP53" s="36"/>
      <c r="AQ53" s="37">
        <f>IF(AC56="","",AC56)</f>
      </c>
      <c r="AR53" s="37"/>
      <c r="AS53" s="38">
        <f>IF(AA56="","",AA56)</f>
      </c>
      <c r="AT53" s="40"/>
      <c r="AU53" s="30"/>
      <c r="AV53" s="30"/>
      <c r="AW53" s="31"/>
      <c r="AX53" s="32"/>
      <c r="AY53" s="33"/>
      <c r="AZ53" s="34"/>
      <c r="BA53" s="30"/>
      <c r="BB53" s="30"/>
      <c r="BC53" s="30"/>
      <c r="BF53" s="42"/>
      <c r="BG53" s="44"/>
      <c r="BH53" s="42"/>
      <c r="BI53" s="42"/>
      <c r="BJ53" s="42"/>
      <c r="BK53" s="42"/>
      <c r="BL53" s="43"/>
      <c r="BM53" s="45"/>
      <c r="BN53" s="45"/>
      <c r="BO53" s="45"/>
      <c r="BP53" s="45"/>
      <c r="BQ53" s="55"/>
      <c r="BS53" s="42"/>
      <c r="BT53" s="44"/>
      <c r="BU53" s="42"/>
      <c r="BV53" s="42"/>
      <c r="BW53" s="43"/>
      <c r="BX53" s="45"/>
    </row>
    <row r="54" spans="1:76" ht="19.5" customHeight="1">
      <c r="A54" s="79"/>
      <c r="B54" s="36"/>
      <c r="C54" s="37"/>
      <c r="D54" s="37"/>
      <c r="E54" s="38"/>
      <c r="F54" s="36"/>
      <c r="G54" s="37"/>
      <c r="H54" s="37"/>
      <c r="I54" s="38"/>
      <c r="J54" s="36"/>
      <c r="K54" s="37"/>
      <c r="L54" s="37"/>
      <c r="M54" s="38"/>
      <c r="N54" s="36"/>
      <c r="O54" s="37"/>
      <c r="P54" s="37"/>
      <c r="Q54" s="38"/>
      <c r="R54" s="36"/>
      <c r="S54" s="37"/>
      <c r="T54" s="37"/>
      <c r="U54" s="38"/>
      <c r="V54" s="36"/>
      <c r="W54" s="37"/>
      <c r="X54" s="37"/>
      <c r="Y54" s="38"/>
      <c r="Z54" s="36"/>
      <c r="AA54" s="37"/>
      <c r="AB54" s="37"/>
      <c r="AC54" s="38"/>
      <c r="AD54" s="36"/>
      <c r="AE54" s="37"/>
      <c r="AF54" s="37"/>
      <c r="AG54" s="38"/>
      <c r="AH54" s="37"/>
      <c r="AI54" s="37"/>
      <c r="AJ54" s="37"/>
      <c r="AK54" s="37"/>
      <c r="AL54" s="36"/>
      <c r="AM54" s="37">
        <f>IF(AK55="","",AK55)</f>
      </c>
      <c r="AN54" s="37"/>
      <c r="AO54" s="38">
        <f>IF(AI55="","",AI55)</f>
      </c>
      <c r="AP54" s="36"/>
      <c r="AQ54" s="37">
        <f>IF(AK56="","",AK56)</f>
      </c>
      <c r="AR54" s="37"/>
      <c r="AS54" s="38">
        <f>IF(AI56="","",AI56)</f>
      </c>
      <c r="AT54" s="40"/>
      <c r="AU54" s="30"/>
      <c r="AV54" s="30"/>
      <c r="AW54" s="31"/>
      <c r="AX54" s="32"/>
      <c r="AY54" s="33"/>
      <c r="AZ54" s="34"/>
      <c r="BA54" s="30"/>
      <c r="BB54" s="30"/>
      <c r="BC54" s="30"/>
      <c r="BF54" s="42"/>
      <c r="BG54" s="44"/>
      <c r="BH54" s="42"/>
      <c r="BI54" s="42"/>
      <c r="BJ54" s="42"/>
      <c r="BK54" s="42"/>
      <c r="BL54" s="43"/>
      <c r="BM54" s="45"/>
      <c r="BN54" s="45"/>
      <c r="BO54" s="45"/>
      <c r="BP54" s="45"/>
      <c r="BQ54" s="55"/>
      <c r="BS54" s="42"/>
      <c r="BT54" s="44"/>
      <c r="BU54" s="42"/>
      <c r="BV54" s="42"/>
      <c r="BW54" s="43"/>
      <c r="BX54" s="45"/>
    </row>
    <row r="55" spans="1:76" ht="19.5" customHeight="1">
      <c r="A55" s="79"/>
      <c r="B55" s="36"/>
      <c r="C55" s="37"/>
      <c r="D55" s="37"/>
      <c r="E55" s="38"/>
      <c r="F55" s="36"/>
      <c r="G55" s="37"/>
      <c r="H55" s="37"/>
      <c r="I55" s="38"/>
      <c r="J55" s="36"/>
      <c r="K55" s="37"/>
      <c r="L55" s="37"/>
      <c r="M55" s="38"/>
      <c r="N55" s="36"/>
      <c r="O55" s="37"/>
      <c r="P55" s="37"/>
      <c r="Q55" s="38"/>
      <c r="R55" s="36"/>
      <c r="S55" s="37"/>
      <c r="T55" s="37"/>
      <c r="U55" s="38"/>
      <c r="V55" s="36"/>
      <c r="W55" s="37"/>
      <c r="X55" s="37"/>
      <c r="Y55" s="38"/>
      <c r="Z55" s="36"/>
      <c r="AA55" s="37"/>
      <c r="AB55" s="37"/>
      <c r="AC55" s="38"/>
      <c r="AD55" s="36"/>
      <c r="AE55" s="37"/>
      <c r="AF55" s="37"/>
      <c r="AG55" s="38"/>
      <c r="AH55" s="37"/>
      <c r="AI55" s="37"/>
      <c r="AJ55" s="37"/>
      <c r="AK55" s="37"/>
      <c r="AL55" s="36"/>
      <c r="AM55" s="37"/>
      <c r="AN55" s="37"/>
      <c r="AO55" s="38"/>
      <c r="AP55" s="36"/>
      <c r="AQ55" s="37">
        <f>IF(AO56="","",AO56)</f>
      </c>
      <c r="AR55" s="37"/>
      <c r="AS55" s="38">
        <f>IF(AM56="","",AM56)</f>
      </c>
      <c r="AT55" s="40"/>
      <c r="AU55" s="30"/>
      <c r="AV55" s="30"/>
      <c r="AW55" s="31"/>
      <c r="AX55" s="32"/>
      <c r="AY55" s="33"/>
      <c r="AZ55" s="34"/>
      <c r="BA55" s="30"/>
      <c r="BB55" s="30"/>
      <c r="BC55" s="30"/>
      <c r="BF55" s="42"/>
      <c r="BG55" s="44"/>
      <c r="BH55" s="42"/>
      <c r="BI55" s="42"/>
      <c r="BJ55" s="42"/>
      <c r="BK55" s="42"/>
      <c r="BL55" s="43"/>
      <c r="BM55" s="45"/>
      <c r="BN55" s="45"/>
      <c r="BO55" s="45"/>
      <c r="BP55" s="45"/>
      <c r="BQ55" s="55"/>
      <c r="BS55" s="42"/>
      <c r="BT55" s="44"/>
      <c r="BU55" s="42"/>
      <c r="BV55" s="42"/>
      <c r="BW55" s="43"/>
      <c r="BX55" s="45"/>
    </row>
    <row r="56" spans="1:76" ht="19.5" customHeight="1">
      <c r="A56" s="69"/>
      <c r="B56" s="36"/>
      <c r="C56" s="37"/>
      <c r="D56" s="37"/>
      <c r="E56" s="38"/>
      <c r="F56" s="36"/>
      <c r="G56" s="37"/>
      <c r="H56" s="37"/>
      <c r="I56" s="38"/>
      <c r="J56" s="36"/>
      <c r="K56" s="37"/>
      <c r="L56" s="37"/>
      <c r="M56" s="38"/>
      <c r="N56" s="36"/>
      <c r="O56" s="37"/>
      <c r="P56" s="37"/>
      <c r="Q56" s="38"/>
      <c r="R56" s="36"/>
      <c r="S56" s="37"/>
      <c r="T56" s="37"/>
      <c r="U56" s="38"/>
      <c r="V56" s="36"/>
      <c r="W56" s="37"/>
      <c r="X56" s="37"/>
      <c r="Y56" s="38"/>
      <c r="Z56" s="36"/>
      <c r="AA56" s="37"/>
      <c r="AB56" s="37"/>
      <c r="AC56" s="38"/>
      <c r="AD56" s="36"/>
      <c r="AE56" s="37"/>
      <c r="AF56" s="37"/>
      <c r="AG56" s="38"/>
      <c r="AH56" s="37"/>
      <c r="AI56" s="37"/>
      <c r="AJ56" s="37"/>
      <c r="AK56" s="37"/>
      <c r="AL56" s="36"/>
      <c r="AM56" s="37"/>
      <c r="AN56" s="37"/>
      <c r="AO56" s="38"/>
      <c r="AP56" s="36"/>
      <c r="AQ56" s="37"/>
      <c r="AR56" s="37"/>
      <c r="AS56" s="38"/>
      <c r="AT56" s="40"/>
      <c r="AU56" s="30"/>
      <c r="AV56" s="30"/>
      <c r="AW56" s="31"/>
      <c r="AX56" s="32"/>
      <c r="AY56" s="33"/>
      <c r="AZ56" s="34"/>
      <c r="BA56" s="30"/>
      <c r="BB56" s="30"/>
      <c r="BC56" s="30"/>
      <c r="BF56" s="42"/>
      <c r="BG56" s="44"/>
      <c r="BH56" s="42"/>
      <c r="BI56" s="42"/>
      <c r="BJ56" s="42"/>
      <c r="BK56" s="42"/>
      <c r="BL56" s="43"/>
      <c r="BM56" s="45"/>
      <c r="BN56" s="45"/>
      <c r="BO56" s="45"/>
      <c r="BP56" s="45"/>
      <c r="BQ56" s="55"/>
      <c r="BS56" s="42"/>
      <c r="BT56" s="44"/>
      <c r="BU56" s="42"/>
      <c r="BV56" s="42"/>
      <c r="BW56" s="43"/>
      <c r="BX56" s="45"/>
    </row>
    <row r="57" spans="1:74" ht="19.5" customHeight="1">
      <c r="A57" s="7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7"/>
      <c r="AH57" s="7"/>
      <c r="AI57" s="7"/>
      <c r="AJ57" s="7"/>
      <c r="AK57" s="7"/>
      <c r="AL57" s="7"/>
      <c r="AM57" s="7"/>
      <c r="AN57" s="21"/>
      <c r="AO57" s="1"/>
      <c r="AP57" s="1"/>
      <c r="AQ57" s="1"/>
      <c r="AR57" s="1"/>
      <c r="AS57" s="1"/>
      <c r="AT57" s="6">
        <f>SUM(AT46:AT56)</f>
        <v>14</v>
      </c>
      <c r="AU57" s="6">
        <f>SUM(AU46:AU56)</f>
        <v>14</v>
      </c>
      <c r="AV57" s="6">
        <f>SUM(AV46:AV56)</f>
        <v>0</v>
      </c>
      <c r="AW57" s="6"/>
      <c r="AX57" s="6"/>
      <c r="AY57" s="6"/>
      <c r="AZ57" s="6"/>
      <c r="BA57" s="6">
        <f>SUM(BA46:BA56)</f>
        <v>205</v>
      </c>
      <c r="BB57" s="6">
        <f>SUM(BB46:BB56)</f>
        <v>205</v>
      </c>
      <c r="BC57" s="6">
        <f>SUM(BC46:BC56)</f>
        <v>0</v>
      </c>
      <c r="BU57" s="53">
        <f>SUM(BU46:BU56)/2</f>
        <v>14</v>
      </c>
      <c r="BV57" s="3">
        <f>3*4/2</f>
        <v>6</v>
      </c>
    </row>
    <row r="58" spans="1:55" ht="19.5" customHeight="1">
      <c r="A58" s="170" t="s">
        <v>3</v>
      </c>
      <c r="B58" s="170"/>
      <c r="C58" s="170"/>
      <c r="D58" s="170"/>
      <c r="E58" s="170"/>
      <c r="F58" s="170"/>
      <c r="G58" s="170"/>
      <c r="H58" s="170"/>
      <c r="I58" s="1"/>
      <c r="J58" s="1"/>
      <c r="K58" s="1"/>
      <c r="L58" s="1"/>
      <c r="M58" s="1"/>
      <c r="N58" s="1"/>
      <c r="O58" s="12"/>
      <c r="P58" s="6"/>
      <c r="Q58" s="13"/>
      <c r="R58" s="185"/>
      <c r="S58" s="185"/>
      <c r="T58" s="14"/>
      <c r="U58" s="14"/>
      <c r="V58" s="185"/>
      <c r="W58" s="185"/>
      <c r="X58" s="14"/>
      <c r="Y58" s="14"/>
      <c r="Z58" s="14"/>
      <c r="AA58" s="14"/>
      <c r="AB58" s="14"/>
      <c r="AC58" s="14"/>
      <c r="AD58" s="6"/>
      <c r="AE58" s="15"/>
      <c r="AF58" s="15"/>
      <c r="AG58" s="15"/>
      <c r="AH58" s="15"/>
      <c r="AI58" s="15"/>
      <c r="AJ58" s="15"/>
      <c r="AK58" s="15"/>
      <c r="AL58" s="15"/>
      <c r="AM58" s="1"/>
      <c r="AN58" s="2"/>
      <c r="AO58" s="1"/>
      <c r="AP58" s="1"/>
      <c r="AQ58" s="1"/>
      <c r="AR58" s="1"/>
      <c r="AS58" s="1"/>
      <c r="AT58" s="60">
        <f>IF(AT57=AU57,"","計算間違い")</f>
      </c>
      <c r="AU58" s="1"/>
      <c r="AV58" s="1"/>
      <c r="AW58" s="1"/>
      <c r="AX58" s="60">
        <f>IF(AV56/2=TRUNC(AV56/2,0),"","計算間違い")</f>
      </c>
      <c r="AY58" s="1"/>
      <c r="AZ58" s="1"/>
      <c r="BA58" s="1"/>
      <c r="BB58" s="1"/>
      <c r="BC58" s="1"/>
    </row>
    <row r="59" spans="1:55" ht="19.5" customHeight="1">
      <c r="A59" s="67"/>
      <c r="B59" s="1"/>
      <c r="C59" s="1"/>
      <c r="D59" s="1"/>
      <c r="E59" s="118"/>
      <c r="F59" s="118"/>
      <c r="G59" s="119"/>
      <c r="H59" s="92"/>
      <c r="I59" s="92"/>
      <c r="J59" s="92"/>
      <c r="K59" s="92"/>
      <c r="L59" s="9"/>
      <c r="M59" s="9"/>
      <c r="N59" s="9"/>
      <c r="O59" s="9"/>
      <c r="P59" s="9"/>
      <c r="Q59" s="13"/>
      <c r="R59" s="185"/>
      <c r="S59" s="185"/>
      <c r="T59" s="14"/>
      <c r="U59" s="14"/>
      <c r="V59" s="185"/>
      <c r="W59" s="185"/>
      <c r="X59" s="14"/>
      <c r="Y59" s="14"/>
      <c r="Z59" s="14"/>
      <c r="AA59" s="14"/>
      <c r="AB59" s="14"/>
      <c r="AC59" s="14"/>
      <c r="AD59" s="6"/>
      <c r="AE59" s="15"/>
      <c r="AF59" s="15"/>
      <c r="AG59" s="15"/>
      <c r="AH59" s="15"/>
      <c r="AI59" s="15"/>
      <c r="AJ59" s="15"/>
      <c r="AK59" s="15"/>
      <c r="AL59" s="15"/>
      <c r="AM59" s="1"/>
      <c r="AN59" s="2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</row>
    <row r="60" spans="1:75" ht="19.5" customHeight="1" thickBot="1">
      <c r="A60" s="67"/>
      <c r="B60" s="10"/>
      <c r="C60" s="116"/>
      <c r="D60" s="114"/>
      <c r="E60" s="134"/>
      <c r="F60" s="136"/>
      <c r="G60" s="172"/>
      <c r="H60" s="172"/>
      <c r="I60" s="88"/>
      <c r="J60" s="140"/>
      <c r="K60" s="141"/>
      <c r="L60" s="139"/>
      <c r="M60" s="125"/>
      <c r="N60" s="1"/>
      <c r="O60" s="20"/>
      <c r="P60" s="187"/>
      <c r="Q60" s="187"/>
      <c r="R60" s="185"/>
      <c r="S60" s="185"/>
      <c r="T60" s="186"/>
      <c r="U60" s="186"/>
      <c r="V60" s="185"/>
      <c r="W60" s="185"/>
      <c r="X60" s="186"/>
      <c r="Y60" s="186"/>
      <c r="Z60" s="17"/>
      <c r="AA60" s="17"/>
      <c r="AB60" s="17"/>
      <c r="AC60" s="17"/>
      <c r="AD60" s="187"/>
      <c r="AE60" s="187"/>
      <c r="AF60" s="1"/>
      <c r="AG60" s="1"/>
      <c r="AH60" s="1"/>
      <c r="AI60" s="1"/>
      <c r="AJ60" s="1"/>
      <c r="AK60" s="1"/>
      <c r="AL60" s="1"/>
      <c r="AM60" s="1"/>
      <c r="AN60" s="2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U60" s="53">
        <f>+BU57+BU43+BU29+BU15</f>
        <v>49.5</v>
      </c>
      <c r="BV60" s="63">
        <f>+BV57+BV43+BV29+BV15</f>
        <v>36</v>
      </c>
      <c r="BW60" s="53">
        <f>+BU60/BV60</f>
        <v>1.375</v>
      </c>
    </row>
    <row r="61" spans="1:55" ht="19.5" customHeight="1">
      <c r="A61" s="67"/>
      <c r="B61" s="81">
        <v>2</v>
      </c>
      <c r="C61" s="120">
        <v>2</v>
      </c>
      <c r="D61" s="172"/>
      <c r="E61" s="172"/>
      <c r="F61" s="137">
        <v>2</v>
      </c>
      <c r="G61" s="65">
        <v>6</v>
      </c>
      <c r="H61" s="15"/>
      <c r="I61" s="66"/>
      <c r="J61" s="142">
        <v>5</v>
      </c>
      <c r="K61" s="172"/>
      <c r="L61" s="172"/>
      <c r="M61" s="66">
        <v>2</v>
      </c>
      <c r="N61" s="127"/>
      <c r="O61" s="20"/>
      <c r="P61" s="187"/>
      <c r="Q61" s="187"/>
      <c r="R61" s="6"/>
      <c r="S61" s="6"/>
      <c r="T61" s="186"/>
      <c r="U61" s="186"/>
      <c r="V61" s="6"/>
      <c r="W61" s="6"/>
      <c r="X61" s="186"/>
      <c r="Y61" s="186"/>
      <c r="Z61" s="17"/>
      <c r="AA61" s="17"/>
      <c r="AB61" s="17"/>
      <c r="AC61" s="17"/>
      <c r="AD61" s="187"/>
      <c r="AE61" s="187"/>
      <c r="AF61" s="1"/>
      <c r="AG61" s="1"/>
      <c r="AH61" s="1"/>
      <c r="AI61" s="1"/>
      <c r="AJ61" s="1"/>
      <c r="AK61" s="1"/>
      <c r="AL61" s="1"/>
      <c r="AM61" s="1"/>
      <c r="AN61" s="2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</row>
    <row r="62" spans="1:55" ht="19.5" customHeight="1">
      <c r="A62" s="67"/>
      <c r="B62" s="77"/>
      <c r="C62" s="121">
        <v>0</v>
      </c>
      <c r="D62" s="16"/>
      <c r="E62" s="17"/>
      <c r="F62" s="138">
        <v>4</v>
      </c>
      <c r="G62" s="135"/>
      <c r="H62" s="15"/>
      <c r="I62" s="115"/>
      <c r="J62" s="143"/>
      <c r="K62" s="11"/>
      <c r="L62" s="13"/>
      <c r="M62" s="125"/>
      <c r="N62" s="128"/>
      <c r="O62" s="20"/>
      <c r="P62" s="187"/>
      <c r="Q62" s="187"/>
      <c r="R62" s="6"/>
      <c r="S62" s="6"/>
      <c r="T62" s="186"/>
      <c r="U62" s="186"/>
      <c r="V62" s="6"/>
      <c r="W62" s="6"/>
      <c r="X62" s="186"/>
      <c r="Y62" s="186"/>
      <c r="Z62" s="17"/>
      <c r="AA62" s="17"/>
      <c r="AB62" s="17"/>
      <c r="AC62" s="17"/>
      <c r="AD62" s="187"/>
      <c r="AE62" s="187"/>
      <c r="AF62" s="1"/>
      <c r="AG62" s="1"/>
      <c r="AH62" s="1"/>
      <c r="AI62" s="1"/>
      <c r="AJ62" s="1"/>
      <c r="AK62" s="1"/>
      <c r="AL62" s="1"/>
      <c r="AM62" s="1"/>
      <c r="AN62" s="2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</row>
    <row r="63" spans="1:55" ht="19.5" customHeight="1">
      <c r="A63" s="1"/>
      <c r="B63" s="175" t="str">
        <f>+A8</f>
        <v>増尾レッドスターズ</v>
      </c>
      <c r="C63" s="176"/>
      <c r="D63" s="22"/>
      <c r="E63" s="22"/>
      <c r="F63" s="175" t="str">
        <f>+A19</f>
        <v>大橋みどりファイターズ</v>
      </c>
      <c r="G63" s="176"/>
      <c r="H63" s="23"/>
      <c r="I63" s="175" t="str">
        <f>+A37</f>
        <v>木刈ファイターズ</v>
      </c>
      <c r="J63" s="176"/>
      <c r="K63" s="24"/>
      <c r="L63" s="24"/>
      <c r="M63" s="175" t="str">
        <f>+A48</f>
        <v>牧の原ジュニアーズ</v>
      </c>
      <c r="N63" s="176"/>
      <c r="O63" s="20"/>
      <c r="P63" s="187"/>
      <c r="Q63" s="187"/>
      <c r="R63" s="6"/>
      <c r="S63" s="6"/>
      <c r="T63" s="186"/>
      <c r="U63" s="186"/>
      <c r="V63" s="6"/>
      <c r="W63" s="6"/>
      <c r="X63" s="186"/>
      <c r="Y63" s="186"/>
      <c r="Z63" s="17"/>
      <c r="AA63" s="17"/>
      <c r="AB63" s="17"/>
      <c r="AC63" s="17"/>
      <c r="AD63" s="187"/>
      <c r="AE63" s="187"/>
      <c r="AF63" s="1"/>
      <c r="AG63" s="1"/>
      <c r="AH63" s="1"/>
      <c r="AI63" s="1"/>
      <c r="AJ63" s="1"/>
      <c r="AK63" s="1"/>
      <c r="AL63" s="1"/>
      <c r="AM63" s="1"/>
      <c r="AN63" s="2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</row>
    <row r="64" spans="1:55" ht="19.5" customHeight="1">
      <c r="A64" s="1"/>
      <c r="B64" s="177"/>
      <c r="C64" s="178"/>
      <c r="D64" s="22"/>
      <c r="E64" s="22"/>
      <c r="F64" s="177"/>
      <c r="G64" s="178"/>
      <c r="H64" s="23"/>
      <c r="I64" s="177"/>
      <c r="J64" s="178"/>
      <c r="K64" s="24"/>
      <c r="L64" s="24"/>
      <c r="M64" s="177"/>
      <c r="N64" s="178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2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</row>
    <row r="65" spans="1:55" ht="19.5" customHeight="1">
      <c r="A65" s="1"/>
      <c r="B65" s="177"/>
      <c r="C65" s="178"/>
      <c r="D65" s="22"/>
      <c r="E65" s="22"/>
      <c r="F65" s="177"/>
      <c r="G65" s="178"/>
      <c r="H65" s="23"/>
      <c r="I65" s="177"/>
      <c r="J65" s="178"/>
      <c r="K65" s="24"/>
      <c r="L65" s="24"/>
      <c r="M65" s="177"/>
      <c r="N65" s="178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2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</row>
    <row r="66" spans="1:55" ht="60" customHeight="1">
      <c r="A66" s="1"/>
      <c r="B66" s="179"/>
      <c r="C66" s="180"/>
      <c r="D66" s="22"/>
      <c r="E66" s="22"/>
      <c r="F66" s="179"/>
      <c r="G66" s="180"/>
      <c r="H66" s="23"/>
      <c r="I66" s="179"/>
      <c r="J66" s="180"/>
      <c r="K66" s="24"/>
      <c r="L66" s="24"/>
      <c r="M66" s="179"/>
      <c r="N66" s="180"/>
      <c r="O66" s="1"/>
      <c r="P66" s="188"/>
      <c r="Q66" s="188"/>
      <c r="R66" s="188"/>
      <c r="S66" s="188"/>
      <c r="T66" s="188"/>
      <c r="U66" s="188"/>
      <c r="V66" s="188"/>
      <c r="W66" s="188"/>
      <c r="X66" s="188"/>
      <c r="Y66" s="188"/>
      <c r="Z66" s="188"/>
      <c r="AA66" s="188"/>
      <c r="AB66" s="188"/>
      <c r="AC66" s="188"/>
      <c r="AD66" s="188"/>
      <c r="AE66" s="188"/>
      <c r="AF66" s="188"/>
      <c r="AG66" s="188"/>
      <c r="AH66" s="188"/>
      <c r="AI66" s="188"/>
      <c r="AJ66" s="188"/>
      <c r="AK66" s="188"/>
      <c r="AL66" s="188"/>
      <c r="AM66" s="188"/>
      <c r="AN66" s="188"/>
      <c r="AO66" s="188"/>
      <c r="AP66" s="188"/>
      <c r="AQ66" s="188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</row>
    <row r="67" spans="1:56" ht="19.5" customHeight="1">
      <c r="A67" s="1"/>
      <c r="B67" s="1"/>
      <c r="C67" s="6"/>
      <c r="D67" s="6"/>
      <c r="E67" s="182"/>
      <c r="F67" s="182"/>
      <c r="G67" s="82"/>
      <c r="H67" s="6"/>
      <c r="I67" s="82"/>
      <c r="J67" s="183"/>
      <c r="K67" s="182"/>
      <c r="L67" s="6"/>
      <c r="M67" s="6"/>
      <c r="N67" s="82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2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</row>
    <row r="68" spans="1:56" ht="19.5" customHeight="1">
      <c r="A68" s="1"/>
      <c r="B68" s="1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2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</row>
    <row r="69" spans="1:56" ht="19.5" customHeight="1">
      <c r="A69" s="1"/>
      <c r="B69" s="1"/>
      <c r="C69" s="1"/>
      <c r="D69" s="1"/>
      <c r="E69" s="1"/>
      <c r="F69" s="1"/>
      <c r="G69" s="6"/>
      <c r="H69" s="6"/>
      <c r="I69" s="6"/>
      <c r="J69" s="6"/>
      <c r="K69" s="6"/>
      <c r="L69" s="6"/>
      <c r="M69" s="6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2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</row>
    <row r="70" spans="3:47" ht="19.5" customHeight="1">
      <c r="C70" s="70">
        <f>+'戦績'!C42</f>
        <v>44743</v>
      </c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2"/>
      <c r="AO70" s="1"/>
      <c r="AP70" s="1"/>
      <c r="AQ70" s="1"/>
      <c r="AR70" s="1"/>
      <c r="AS70" s="1"/>
      <c r="AT70" s="1"/>
      <c r="AU70" s="1"/>
    </row>
    <row r="71" spans="3:47" ht="19.5" customHeight="1">
      <c r="C71" s="70">
        <f>+'戦績'!C43</f>
        <v>45327</v>
      </c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2"/>
      <c r="AO71" s="1"/>
      <c r="AP71" s="1"/>
      <c r="AQ71" s="1"/>
      <c r="AR71" s="1"/>
      <c r="AS71" s="1"/>
      <c r="AT71" s="1"/>
      <c r="AU71" s="1"/>
    </row>
    <row r="72" spans="30:47" ht="19.5" customHeight="1"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2"/>
      <c r="AO72" s="1"/>
      <c r="AP72" s="1"/>
      <c r="AQ72" s="1"/>
      <c r="AR72" s="1"/>
      <c r="AS72" s="1"/>
      <c r="AT72" s="1"/>
      <c r="AU72" s="1"/>
    </row>
    <row r="73" spans="30:47" ht="19.5" customHeight="1"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2"/>
      <c r="AO73" s="1"/>
      <c r="AP73" s="1"/>
      <c r="AQ73" s="1"/>
      <c r="AR73" s="1"/>
      <c r="AS73" s="1"/>
      <c r="AT73" s="1"/>
      <c r="AU73" s="1"/>
    </row>
    <row r="74" spans="30:47" ht="19.5" customHeight="1"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2"/>
      <c r="AO74" s="1"/>
      <c r="AP74" s="1"/>
      <c r="AQ74" s="1"/>
      <c r="AR74" s="1"/>
      <c r="AS74" s="1"/>
      <c r="AT74" s="1"/>
      <c r="AU74" s="1"/>
    </row>
    <row r="75" spans="30:47" ht="19.5" customHeight="1"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2"/>
      <c r="AO75" s="1"/>
      <c r="AP75" s="1"/>
      <c r="AQ75" s="1"/>
      <c r="AR75" s="1"/>
      <c r="AS75" s="1"/>
      <c r="AT75" s="1"/>
      <c r="AU75" s="1"/>
    </row>
    <row r="76" spans="30:47" ht="19.5" customHeight="1"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2"/>
      <c r="AO76" s="1"/>
      <c r="AP76" s="1"/>
      <c r="AQ76" s="1"/>
      <c r="AR76" s="1"/>
      <c r="AS76" s="1"/>
      <c r="AT76" s="1"/>
      <c r="AU76" s="1"/>
    </row>
    <row r="77" spans="30:47" ht="19.5" customHeight="1"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2"/>
      <c r="AO77" s="1"/>
      <c r="AP77" s="1"/>
      <c r="AQ77" s="1"/>
      <c r="AR77" s="1"/>
      <c r="AS77" s="1"/>
      <c r="AT77" s="1"/>
      <c r="AU77" s="1"/>
    </row>
    <row r="78" spans="30:47" ht="19.5" customHeight="1"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2"/>
      <c r="AO78" s="1"/>
      <c r="AP78" s="1"/>
      <c r="AQ78" s="1"/>
      <c r="AR78" s="1"/>
      <c r="AS78" s="1"/>
      <c r="AT78" s="1"/>
      <c r="AU78" s="1"/>
    </row>
    <row r="79" spans="30:47" ht="19.5" customHeight="1"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2"/>
      <c r="AO79" s="1"/>
      <c r="AP79" s="1"/>
      <c r="AQ79" s="1"/>
      <c r="AR79" s="1"/>
      <c r="AS79" s="1"/>
      <c r="AT79" s="1"/>
      <c r="AU79" s="1"/>
    </row>
    <row r="80" spans="30:47" ht="19.5" customHeight="1"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2"/>
      <c r="AO80" s="1"/>
      <c r="AP80" s="1"/>
      <c r="AQ80" s="1"/>
      <c r="AR80" s="1"/>
      <c r="AS80" s="1"/>
      <c r="AT80" s="1"/>
      <c r="AU80" s="1"/>
    </row>
    <row r="81" spans="30:47" ht="19.5" customHeight="1"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2"/>
      <c r="AO81" s="1"/>
      <c r="AP81" s="1"/>
      <c r="AQ81" s="1"/>
      <c r="AR81" s="1"/>
      <c r="AS81" s="1"/>
      <c r="AT81" s="1"/>
      <c r="AU81" s="1"/>
    </row>
    <row r="82" spans="30:47" ht="19.5" customHeight="1"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2"/>
      <c r="AO82" s="1"/>
      <c r="AP82" s="1"/>
      <c r="AQ82" s="1"/>
      <c r="AR82" s="1"/>
      <c r="AS82" s="1"/>
      <c r="AT82" s="1"/>
      <c r="AU82" s="1"/>
    </row>
    <row r="83" spans="30:47" ht="19.5" customHeight="1"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2"/>
      <c r="AO83" s="1"/>
      <c r="AP83" s="1"/>
      <c r="AQ83" s="1"/>
      <c r="AR83" s="1"/>
      <c r="AS83" s="1"/>
      <c r="AT83" s="1"/>
      <c r="AU83" s="1"/>
    </row>
    <row r="84" spans="30:47" ht="19.5" customHeight="1"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2"/>
      <c r="AO84" s="1"/>
      <c r="AP84" s="1"/>
      <c r="AQ84" s="1"/>
      <c r="AR84" s="1"/>
      <c r="AS84" s="1"/>
      <c r="AT84" s="1"/>
      <c r="AU84" s="1"/>
    </row>
    <row r="85" spans="30:47" ht="19.5" customHeight="1"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2"/>
      <c r="AO85" s="1"/>
      <c r="AP85" s="1"/>
      <c r="AQ85" s="1"/>
      <c r="AR85" s="1"/>
      <c r="AS85" s="1"/>
      <c r="AT85" s="1"/>
      <c r="AU85" s="1"/>
    </row>
    <row r="86" spans="30:47" ht="19.5" customHeight="1"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2"/>
      <c r="AO86" s="1"/>
      <c r="AP86" s="1"/>
      <c r="AQ86" s="1"/>
      <c r="AR86" s="1"/>
      <c r="AS86" s="1"/>
      <c r="AT86" s="1"/>
      <c r="AU86" s="1"/>
    </row>
    <row r="87" spans="30:47" ht="19.5" customHeight="1"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2"/>
      <c r="AO87" s="1"/>
      <c r="AP87" s="1"/>
      <c r="AQ87" s="1"/>
      <c r="AR87" s="1"/>
      <c r="AS87" s="1"/>
      <c r="AT87" s="1"/>
      <c r="AU87" s="1"/>
    </row>
    <row r="88" spans="30:47" ht="19.5" customHeight="1"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2"/>
      <c r="AO88" s="1"/>
      <c r="AP88" s="1"/>
      <c r="AQ88" s="1"/>
      <c r="AR88" s="1"/>
      <c r="AS88" s="1"/>
      <c r="AT88" s="1"/>
      <c r="AU88" s="1"/>
    </row>
    <row r="89" spans="30:47" ht="19.5" customHeight="1"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2"/>
      <c r="AO89" s="1"/>
      <c r="AP89" s="1"/>
      <c r="AQ89" s="1"/>
      <c r="AR89" s="1"/>
      <c r="AS89" s="1"/>
      <c r="AT89" s="1"/>
      <c r="AU89" s="1"/>
    </row>
    <row r="90" spans="30:47" ht="19.5" customHeight="1"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2"/>
      <c r="AO90" s="1"/>
      <c r="AP90" s="1"/>
      <c r="AQ90" s="1"/>
      <c r="AR90" s="1"/>
      <c r="AS90" s="1"/>
      <c r="AT90" s="1"/>
      <c r="AU90" s="1"/>
    </row>
    <row r="91" spans="30:47" ht="19.5" customHeight="1"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2"/>
      <c r="AO91" s="1"/>
      <c r="AP91" s="1"/>
      <c r="AQ91" s="1"/>
      <c r="AR91" s="1"/>
      <c r="AS91" s="1"/>
      <c r="AT91" s="1"/>
      <c r="AU91" s="1"/>
    </row>
    <row r="92" spans="30:47" ht="19.5" customHeight="1"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2"/>
      <c r="AO92" s="1"/>
      <c r="AP92" s="1"/>
      <c r="AQ92" s="1"/>
      <c r="AR92" s="1"/>
      <c r="AS92" s="1"/>
      <c r="AT92" s="1"/>
      <c r="AU92" s="1"/>
    </row>
    <row r="93" spans="30:47" ht="19.5" customHeight="1"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2"/>
      <c r="AO93" s="1"/>
      <c r="AP93" s="1"/>
      <c r="AQ93" s="1"/>
      <c r="AR93" s="1"/>
      <c r="AS93" s="1"/>
      <c r="AT93" s="1"/>
      <c r="AU93" s="1"/>
    </row>
    <row r="94" spans="30:47" ht="19.5" customHeight="1"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2"/>
      <c r="AO94" s="1"/>
      <c r="AP94" s="1"/>
      <c r="AQ94" s="1"/>
      <c r="AR94" s="1"/>
      <c r="AS94" s="1"/>
      <c r="AT94" s="1"/>
      <c r="AU94" s="1"/>
    </row>
    <row r="95" spans="30:47" ht="19.5" customHeight="1"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2"/>
      <c r="AO95" s="1"/>
      <c r="AP95" s="1"/>
      <c r="AQ95" s="1"/>
      <c r="AR95" s="1"/>
      <c r="AS95" s="1"/>
      <c r="AT95" s="1"/>
      <c r="AU95" s="1"/>
    </row>
    <row r="96" spans="30:47" ht="19.5" customHeight="1"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2"/>
      <c r="AO96" s="1"/>
      <c r="AP96" s="1"/>
      <c r="AQ96" s="1"/>
      <c r="AR96" s="1"/>
      <c r="AS96" s="1"/>
      <c r="AT96" s="1"/>
      <c r="AU96" s="1"/>
    </row>
    <row r="97" spans="30:47" ht="19.5" customHeight="1"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2"/>
      <c r="AO97" s="1"/>
      <c r="AP97" s="1"/>
      <c r="AQ97" s="1"/>
      <c r="AR97" s="1"/>
      <c r="AS97" s="1"/>
      <c r="AT97" s="1"/>
      <c r="AU97" s="1"/>
    </row>
    <row r="98" spans="30:47" ht="19.5" customHeight="1"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2"/>
      <c r="AO98" s="1"/>
      <c r="AP98" s="1"/>
      <c r="AQ98" s="1"/>
      <c r="AR98" s="1"/>
      <c r="AS98" s="1"/>
      <c r="AT98" s="1"/>
      <c r="AU98" s="1"/>
    </row>
    <row r="99" spans="30:47" ht="19.5" customHeight="1"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2"/>
      <c r="AO99" s="1"/>
      <c r="AP99" s="1"/>
      <c r="AQ99" s="1"/>
      <c r="AR99" s="1"/>
      <c r="AS99" s="1"/>
      <c r="AT99" s="1"/>
      <c r="AU99" s="1"/>
    </row>
    <row r="100" spans="30:47" ht="19.5" customHeight="1"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2"/>
      <c r="AO100" s="1"/>
      <c r="AP100" s="1"/>
      <c r="AQ100" s="1"/>
      <c r="AR100" s="1"/>
      <c r="AS100" s="1"/>
      <c r="AT100" s="1"/>
      <c r="AU100" s="1"/>
    </row>
    <row r="101" spans="30:47" ht="19.5" customHeight="1"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2"/>
      <c r="AO101" s="1"/>
      <c r="AP101" s="1"/>
      <c r="AQ101" s="1"/>
      <c r="AR101" s="1"/>
      <c r="AS101" s="1"/>
      <c r="AT101" s="1"/>
      <c r="AU101" s="1"/>
    </row>
    <row r="102" spans="30:47" ht="19.5" customHeight="1"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2"/>
      <c r="AO102" s="1"/>
      <c r="AP102" s="1"/>
      <c r="AQ102" s="1"/>
      <c r="AR102" s="1"/>
      <c r="AS102" s="1"/>
      <c r="AT102" s="1"/>
      <c r="AU102" s="1"/>
    </row>
    <row r="103" spans="30:47" ht="19.5" customHeight="1"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2"/>
      <c r="AO103" s="1"/>
      <c r="AP103" s="1"/>
      <c r="AQ103" s="1"/>
      <c r="AR103" s="1"/>
      <c r="AS103" s="1"/>
      <c r="AT103" s="1"/>
      <c r="AU103" s="1"/>
    </row>
    <row r="104" spans="30:47" ht="19.5" customHeight="1"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2"/>
      <c r="AO104" s="1"/>
      <c r="AP104" s="1"/>
      <c r="AQ104" s="1"/>
      <c r="AR104" s="1"/>
      <c r="AS104" s="1"/>
      <c r="AT104" s="1"/>
      <c r="AU104" s="1"/>
    </row>
    <row r="105" spans="30:47" ht="19.5" customHeight="1"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2"/>
      <c r="AO105" s="1"/>
      <c r="AP105" s="1"/>
      <c r="AQ105" s="1"/>
      <c r="AR105" s="1"/>
      <c r="AS105" s="1"/>
      <c r="AT105" s="1"/>
      <c r="AU105" s="1"/>
    </row>
    <row r="106" spans="30:47" ht="19.5" customHeight="1"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2"/>
      <c r="AO106" s="1"/>
      <c r="AP106" s="1"/>
      <c r="AQ106" s="1"/>
      <c r="AR106" s="1"/>
      <c r="AS106" s="1"/>
      <c r="AT106" s="1"/>
      <c r="AU106" s="1"/>
    </row>
    <row r="107" spans="30:47" ht="19.5" customHeight="1"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2"/>
      <c r="AO107" s="1"/>
      <c r="AP107" s="1"/>
      <c r="AQ107" s="1"/>
      <c r="AR107" s="1"/>
      <c r="AS107" s="1"/>
      <c r="AT107" s="1"/>
      <c r="AU107" s="1"/>
    </row>
    <row r="108" spans="30:47" ht="19.5" customHeight="1"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2"/>
      <c r="AO108" s="1"/>
      <c r="AP108" s="1"/>
      <c r="AQ108" s="1"/>
      <c r="AR108" s="1"/>
      <c r="AS108" s="1"/>
      <c r="AT108" s="1"/>
      <c r="AU108" s="1"/>
    </row>
    <row r="109" spans="30:47" ht="19.5" customHeight="1"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2"/>
      <c r="AO109" s="1"/>
      <c r="AP109" s="1"/>
      <c r="AQ109" s="1"/>
      <c r="AR109" s="1"/>
      <c r="AS109" s="1"/>
      <c r="AT109" s="1"/>
      <c r="AU109" s="1"/>
    </row>
    <row r="110" spans="30:47" ht="19.5" customHeight="1"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2"/>
      <c r="AO110" s="1"/>
      <c r="AP110" s="1"/>
      <c r="AQ110" s="1"/>
      <c r="AR110" s="1"/>
      <c r="AS110" s="1"/>
      <c r="AT110" s="1"/>
      <c r="AU110" s="1"/>
    </row>
    <row r="111" spans="30:47" ht="19.5" customHeight="1"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2"/>
      <c r="AO111" s="1"/>
      <c r="AP111" s="1"/>
      <c r="AQ111" s="1"/>
      <c r="AR111" s="1"/>
      <c r="AS111" s="1"/>
      <c r="AT111" s="1"/>
      <c r="AU111" s="1"/>
    </row>
    <row r="112" spans="30:47" ht="19.5" customHeight="1"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2"/>
      <c r="AO112" s="1"/>
      <c r="AP112" s="1"/>
      <c r="AQ112" s="1"/>
      <c r="AR112" s="1"/>
      <c r="AS112" s="1"/>
      <c r="AT112" s="1"/>
      <c r="AU112" s="1"/>
    </row>
    <row r="113" spans="30:47" ht="19.5" customHeight="1"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2"/>
      <c r="AO113" s="1"/>
      <c r="AP113" s="1"/>
      <c r="AQ113" s="1"/>
      <c r="AR113" s="1"/>
      <c r="AS113" s="1"/>
      <c r="AT113" s="1"/>
      <c r="AU113" s="1"/>
    </row>
    <row r="114" spans="30:47" ht="19.5" customHeight="1"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2"/>
      <c r="AO114" s="1"/>
      <c r="AP114" s="1"/>
      <c r="AQ114" s="1"/>
      <c r="AR114" s="1"/>
      <c r="AS114" s="1"/>
      <c r="AT114" s="1"/>
      <c r="AU114" s="1"/>
    </row>
    <row r="115" spans="30:47" ht="19.5" customHeight="1"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2"/>
      <c r="AO115" s="1"/>
      <c r="AP115" s="1"/>
      <c r="AQ115" s="1"/>
      <c r="AR115" s="1"/>
      <c r="AS115" s="1"/>
      <c r="AT115" s="1"/>
      <c r="AU115" s="1"/>
    </row>
    <row r="116" spans="30:47" ht="19.5" customHeight="1"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2"/>
      <c r="AO116" s="1"/>
      <c r="AP116" s="1"/>
      <c r="AQ116" s="1"/>
      <c r="AR116" s="1"/>
      <c r="AS116" s="1"/>
      <c r="AT116" s="1"/>
      <c r="AU116" s="1"/>
    </row>
    <row r="117" spans="30:47" ht="19.5" customHeight="1"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2"/>
      <c r="AO117" s="1"/>
      <c r="AP117" s="1"/>
      <c r="AQ117" s="1"/>
      <c r="AR117" s="1"/>
      <c r="AS117" s="1"/>
      <c r="AT117" s="1"/>
      <c r="AU117" s="1"/>
    </row>
    <row r="118" spans="30:47" ht="19.5" customHeight="1"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2"/>
      <c r="AO118" s="1"/>
      <c r="AP118" s="1"/>
      <c r="AQ118" s="1"/>
      <c r="AR118" s="1"/>
      <c r="AS118" s="1"/>
      <c r="AT118" s="1"/>
      <c r="AU118" s="1"/>
    </row>
    <row r="119" spans="30:47" ht="19.5" customHeight="1"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2"/>
      <c r="AO119" s="1"/>
      <c r="AP119" s="1"/>
      <c r="AQ119" s="1"/>
      <c r="AR119" s="1"/>
      <c r="AS119" s="1"/>
      <c r="AT119" s="1"/>
      <c r="AU119" s="1"/>
    </row>
    <row r="120" spans="30:47" ht="19.5" customHeight="1"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2"/>
      <c r="AO120" s="1"/>
      <c r="AP120" s="1"/>
      <c r="AQ120" s="1"/>
      <c r="AR120" s="1"/>
      <c r="AS120" s="1"/>
      <c r="AT120" s="1"/>
      <c r="AU120" s="1"/>
    </row>
    <row r="121" spans="30:47" ht="19.5" customHeight="1"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2"/>
      <c r="AO121" s="1"/>
      <c r="AP121" s="1"/>
      <c r="AQ121" s="1"/>
      <c r="AR121" s="1"/>
      <c r="AS121" s="1"/>
      <c r="AT121" s="1"/>
      <c r="AU121" s="1"/>
    </row>
    <row r="122" spans="30:47" ht="19.5" customHeight="1"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2"/>
      <c r="AO122" s="1"/>
      <c r="AP122" s="1"/>
      <c r="AQ122" s="1"/>
      <c r="AR122" s="1"/>
      <c r="AS122" s="1"/>
      <c r="AT122" s="1"/>
      <c r="AU122" s="1"/>
    </row>
    <row r="123" spans="30:47" ht="19.5" customHeight="1"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2"/>
      <c r="AO123" s="1"/>
      <c r="AP123" s="1"/>
      <c r="AQ123" s="1"/>
      <c r="AR123" s="1"/>
      <c r="AS123" s="1"/>
      <c r="AT123" s="1"/>
      <c r="AU123" s="1"/>
    </row>
    <row r="124" spans="30:47" ht="19.5" customHeight="1"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2"/>
      <c r="AO124" s="1"/>
      <c r="AP124" s="1"/>
      <c r="AQ124" s="1"/>
      <c r="AR124" s="1"/>
      <c r="AS124" s="1"/>
      <c r="AT124" s="1"/>
      <c r="AU124" s="1"/>
    </row>
    <row r="125" spans="30:47" ht="19.5" customHeight="1"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2"/>
      <c r="AO125" s="1"/>
      <c r="AP125" s="1"/>
      <c r="AQ125" s="1"/>
      <c r="AR125" s="1"/>
      <c r="AS125" s="1"/>
      <c r="AT125" s="1"/>
      <c r="AU125" s="1"/>
    </row>
    <row r="126" spans="30:47" ht="19.5" customHeight="1"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2"/>
      <c r="AO126" s="1"/>
      <c r="AP126" s="1"/>
      <c r="AQ126" s="1"/>
      <c r="AR126" s="1"/>
      <c r="AS126" s="1"/>
      <c r="AT126" s="1"/>
      <c r="AU126" s="1"/>
    </row>
    <row r="127" spans="30:47" ht="19.5" customHeight="1"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2"/>
      <c r="AO127" s="1"/>
      <c r="AP127" s="1"/>
      <c r="AQ127" s="1"/>
      <c r="AR127" s="1"/>
      <c r="AS127" s="1"/>
      <c r="AT127" s="1"/>
      <c r="AU127" s="1"/>
    </row>
    <row r="128" spans="30:47" ht="19.5" customHeight="1"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2"/>
      <c r="AO128" s="1"/>
      <c r="AP128" s="1"/>
      <c r="AQ128" s="1"/>
      <c r="AR128" s="1"/>
      <c r="AS128" s="1"/>
      <c r="AT128" s="1"/>
      <c r="AU128" s="1"/>
    </row>
    <row r="129" spans="30:47" ht="19.5" customHeight="1"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2"/>
      <c r="AO129" s="1"/>
      <c r="AP129" s="1"/>
      <c r="AQ129" s="1"/>
      <c r="AR129" s="1"/>
      <c r="AS129" s="1"/>
      <c r="AT129" s="1"/>
      <c r="AU129" s="1"/>
    </row>
    <row r="130" spans="30:47" ht="19.5" customHeight="1"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2"/>
      <c r="AO130" s="1"/>
      <c r="AP130" s="1"/>
      <c r="AQ130" s="1"/>
      <c r="AR130" s="1"/>
      <c r="AS130" s="1"/>
      <c r="AT130" s="1"/>
      <c r="AU130" s="1"/>
    </row>
    <row r="131" spans="30:47" ht="19.5" customHeight="1"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2"/>
      <c r="AO131" s="1"/>
      <c r="AP131" s="1"/>
      <c r="AQ131" s="1"/>
      <c r="AR131" s="1"/>
      <c r="AS131" s="1"/>
      <c r="AT131" s="1"/>
      <c r="AU131" s="1"/>
    </row>
    <row r="132" spans="30:47" ht="19.5" customHeight="1"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2"/>
      <c r="AO132" s="1"/>
      <c r="AP132" s="1"/>
      <c r="AQ132" s="1"/>
      <c r="AR132" s="1"/>
      <c r="AS132" s="1"/>
      <c r="AT132" s="1"/>
      <c r="AU132" s="1"/>
    </row>
    <row r="133" spans="30:47" ht="19.5" customHeight="1"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2"/>
      <c r="AO133" s="1"/>
      <c r="AP133" s="1"/>
      <c r="AQ133" s="1"/>
      <c r="AR133" s="1"/>
      <c r="AS133" s="1"/>
      <c r="AT133" s="1"/>
      <c r="AU133" s="1"/>
    </row>
    <row r="134" spans="30:47" ht="19.5" customHeight="1"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2"/>
      <c r="AO134" s="1"/>
      <c r="AP134" s="1"/>
      <c r="AQ134" s="1"/>
      <c r="AR134" s="1"/>
      <c r="AS134" s="1"/>
      <c r="AT134" s="1"/>
      <c r="AU134" s="1"/>
    </row>
    <row r="135" spans="30:47" ht="19.5" customHeight="1"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2"/>
      <c r="AO135" s="1"/>
      <c r="AP135" s="1"/>
      <c r="AQ135" s="1"/>
      <c r="AR135" s="1"/>
      <c r="AS135" s="1"/>
      <c r="AT135" s="1"/>
      <c r="AU135" s="1"/>
    </row>
    <row r="136" spans="30:47" ht="19.5" customHeight="1"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2"/>
      <c r="AO136" s="1"/>
      <c r="AP136" s="1"/>
      <c r="AQ136" s="1"/>
      <c r="AR136" s="1"/>
      <c r="AS136" s="1"/>
      <c r="AT136" s="1"/>
      <c r="AU136" s="1"/>
    </row>
    <row r="137" spans="30:47" ht="19.5" customHeight="1"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2"/>
      <c r="AO137" s="1"/>
      <c r="AP137" s="1"/>
      <c r="AQ137" s="1"/>
      <c r="AR137" s="1"/>
      <c r="AS137" s="1"/>
      <c r="AT137" s="1"/>
      <c r="AU137" s="1"/>
    </row>
    <row r="138" spans="30:47" ht="19.5" customHeight="1"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2"/>
      <c r="AO138" s="1"/>
      <c r="AP138" s="1"/>
      <c r="AQ138" s="1"/>
      <c r="AR138" s="1"/>
      <c r="AS138" s="1"/>
      <c r="AT138" s="1"/>
      <c r="AU138" s="1"/>
    </row>
    <row r="139" spans="30:47" ht="19.5" customHeight="1"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2"/>
      <c r="AO139" s="1"/>
      <c r="AP139" s="1"/>
      <c r="AQ139" s="1"/>
      <c r="AR139" s="1"/>
      <c r="AS139" s="1"/>
      <c r="AT139" s="1"/>
      <c r="AU139" s="1"/>
    </row>
    <row r="140" spans="30:47" ht="19.5" customHeight="1"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2"/>
      <c r="AO140" s="1"/>
      <c r="AP140" s="1"/>
      <c r="AQ140" s="1"/>
      <c r="AR140" s="1"/>
      <c r="AS140" s="1"/>
      <c r="AT140" s="1"/>
      <c r="AU140" s="1"/>
    </row>
    <row r="141" spans="30:47" ht="19.5" customHeight="1"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2"/>
      <c r="AO141" s="1"/>
      <c r="AP141" s="1"/>
      <c r="AQ141" s="1"/>
      <c r="AR141" s="1"/>
      <c r="AS141" s="1"/>
      <c r="AT141" s="1"/>
      <c r="AU141" s="1"/>
    </row>
    <row r="142" spans="30:47" ht="19.5" customHeight="1"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2"/>
      <c r="AO142" s="1"/>
      <c r="AP142" s="1"/>
      <c r="AQ142" s="1"/>
      <c r="AR142" s="1"/>
      <c r="AS142" s="1"/>
      <c r="AT142" s="1"/>
      <c r="AU142" s="1"/>
    </row>
    <row r="143" spans="30:47" ht="19.5" customHeight="1"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2"/>
      <c r="AO143" s="1"/>
      <c r="AP143" s="1"/>
      <c r="AQ143" s="1"/>
      <c r="AR143" s="1"/>
      <c r="AS143" s="1"/>
      <c r="AT143" s="1"/>
      <c r="AU143" s="1"/>
    </row>
    <row r="144" spans="30:47" ht="19.5" customHeight="1"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2"/>
      <c r="AO144" s="1"/>
      <c r="AP144" s="1"/>
      <c r="AQ144" s="1"/>
      <c r="AR144" s="1"/>
      <c r="AS144" s="1"/>
      <c r="AT144" s="1"/>
      <c r="AU144" s="1"/>
    </row>
    <row r="145" spans="30:47" ht="19.5" customHeight="1"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2"/>
      <c r="AO145" s="1"/>
      <c r="AP145" s="1"/>
      <c r="AQ145" s="1"/>
      <c r="AR145" s="1"/>
      <c r="AS145" s="1"/>
      <c r="AT145" s="1"/>
      <c r="AU145" s="1"/>
    </row>
    <row r="146" spans="30:47" ht="19.5" customHeight="1"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2"/>
      <c r="AO146" s="1"/>
      <c r="AP146" s="1"/>
      <c r="AQ146" s="1"/>
      <c r="AR146" s="1"/>
      <c r="AS146" s="1"/>
      <c r="AT146" s="1"/>
      <c r="AU146" s="1"/>
    </row>
    <row r="147" spans="30:47" ht="19.5" customHeight="1"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2"/>
      <c r="AO147" s="1"/>
      <c r="AP147" s="1"/>
      <c r="AQ147" s="1"/>
      <c r="AR147" s="1"/>
      <c r="AS147" s="1"/>
      <c r="AT147" s="1"/>
      <c r="AU147" s="1"/>
    </row>
    <row r="148" spans="30:47" ht="19.5" customHeight="1"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2"/>
      <c r="AO148" s="1"/>
      <c r="AP148" s="1"/>
      <c r="AQ148" s="1"/>
      <c r="AR148" s="1"/>
      <c r="AS148" s="1"/>
      <c r="AT148" s="1"/>
      <c r="AU148" s="1"/>
    </row>
    <row r="149" spans="30:47" ht="19.5" customHeight="1"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2"/>
      <c r="AO149" s="1"/>
      <c r="AP149" s="1"/>
      <c r="AQ149" s="1"/>
      <c r="AR149" s="1"/>
      <c r="AS149" s="1"/>
      <c r="AT149" s="1"/>
      <c r="AU149" s="1"/>
    </row>
    <row r="150" spans="30:47" ht="19.5" customHeight="1"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2"/>
      <c r="AO150" s="1"/>
      <c r="AP150" s="1"/>
      <c r="AQ150" s="1"/>
      <c r="AR150" s="1"/>
      <c r="AS150" s="1"/>
      <c r="AT150" s="1"/>
      <c r="AU150" s="1"/>
    </row>
    <row r="151" spans="30:47" ht="19.5" customHeight="1"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2"/>
      <c r="AO151" s="1"/>
      <c r="AP151" s="1"/>
      <c r="AQ151" s="1"/>
      <c r="AR151" s="1"/>
      <c r="AS151" s="1"/>
      <c r="AT151" s="1"/>
      <c r="AU151" s="1"/>
    </row>
    <row r="152" spans="30:47" ht="19.5" customHeight="1"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2"/>
      <c r="AO152" s="1"/>
      <c r="AP152" s="1"/>
      <c r="AQ152" s="1"/>
      <c r="AR152" s="1"/>
      <c r="AS152" s="1"/>
      <c r="AT152" s="1"/>
      <c r="AU152" s="1"/>
    </row>
    <row r="153" spans="30:47" ht="19.5" customHeight="1"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2"/>
      <c r="AO153" s="1"/>
      <c r="AP153" s="1"/>
      <c r="AQ153" s="1"/>
      <c r="AR153" s="1"/>
      <c r="AS153" s="1"/>
      <c r="AT153" s="1"/>
      <c r="AU153" s="1"/>
    </row>
    <row r="154" spans="30:47" ht="19.5" customHeight="1"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2"/>
      <c r="AO154" s="1"/>
      <c r="AP154" s="1"/>
      <c r="AQ154" s="1"/>
      <c r="AR154" s="1"/>
      <c r="AS154" s="1"/>
      <c r="AT154" s="1"/>
      <c r="AU154" s="1"/>
    </row>
    <row r="155" spans="30:47" ht="19.5" customHeight="1"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2"/>
      <c r="AO155" s="1"/>
      <c r="AP155" s="1"/>
      <c r="AQ155" s="1"/>
      <c r="AR155" s="1"/>
      <c r="AS155" s="1"/>
      <c r="AT155" s="1"/>
      <c r="AU155" s="1"/>
    </row>
    <row r="156" spans="30:47" ht="19.5" customHeight="1"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2"/>
      <c r="AO156" s="1"/>
      <c r="AP156" s="1"/>
      <c r="AQ156" s="1"/>
      <c r="AR156" s="1"/>
      <c r="AS156" s="1"/>
      <c r="AT156" s="1"/>
      <c r="AU156" s="1"/>
    </row>
    <row r="157" spans="30:47" ht="19.5" customHeight="1"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2"/>
      <c r="AO157" s="1"/>
      <c r="AP157" s="1"/>
      <c r="AQ157" s="1"/>
      <c r="AR157" s="1"/>
      <c r="AS157" s="1"/>
      <c r="AT157" s="1"/>
      <c r="AU157" s="1"/>
    </row>
    <row r="158" spans="30:47" ht="19.5" customHeight="1"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2"/>
      <c r="AO158" s="1"/>
      <c r="AP158" s="1"/>
      <c r="AQ158" s="1"/>
      <c r="AR158" s="1"/>
      <c r="AS158" s="1"/>
      <c r="AT158" s="1"/>
      <c r="AU158" s="1"/>
    </row>
    <row r="159" spans="30:47" ht="19.5" customHeight="1"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2"/>
      <c r="AO159" s="1"/>
      <c r="AP159" s="1"/>
      <c r="AQ159" s="1"/>
      <c r="AR159" s="1"/>
      <c r="AS159" s="1"/>
      <c r="AT159" s="1"/>
      <c r="AU159" s="1"/>
    </row>
    <row r="160" spans="30:47" ht="19.5" customHeight="1"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2"/>
      <c r="AO160" s="1"/>
      <c r="AP160" s="1"/>
      <c r="AQ160" s="1"/>
      <c r="AR160" s="1"/>
      <c r="AS160" s="1"/>
      <c r="AT160" s="1"/>
      <c r="AU160" s="1"/>
    </row>
    <row r="161" spans="30:47" ht="19.5" customHeight="1"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2"/>
      <c r="AO161" s="1"/>
      <c r="AP161" s="1"/>
      <c r="AQ161" s="1"/>
      <c r="AR161" s="1"/>
      <c r="AS161" s="1"/>
      <c r="AT161" s="1"/>
      <c r="AU161" s="1"/>
    </row>
    <row r="162" spans="30:47" ht="19.5" customHeight="1"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2"/>
      <c r="AO162" s="1"/>
      <c r="AP162" s="1"/>
      <c r="AQ162" s="1"/>
      <c r="AR162" s="1"/>
      <c r="AS162" s="1"/>
      <c r="AT162" s="1"/>
      <c r="AU162" s="1"/>
    </row>
    <row r="163" spans="30:47" ht="19.5" customHeight="1"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2"/>
      <c r="AO163" s="1"/>
      <c r="AP163" s="1"/>
      <c r="AQ163" s="1"/>
      <c r="AR163" s="1"/>
      <c r="AS163" s="1"/>
      <c r="AT163" s="1"/>
      <c r="AU163" s="1"/>
    </row>
    <row r="164" spans="30:47" ht="19.5" customHeight="1"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2"/>
      <c r="AO164" s="1"/>
      <c r="AP164" s="1"/>
      <c r="AQ164" s="1"/>
      <c r="AR164" s="1"/>
      <c r="AS164" s="1"/>
      <c r="AT164" s="1"/>
      <c r="AU164" s="1"/>
    </row>
    <row r="165" spans="30:47" ht="19.5" customHeight="1"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2"/>
      <c r="AO165" s="1"/>
      <c r="AP165" s="1"/>
      <c r="AQ165" s="1"/>
      <c r="AR165" s="1"/>
      <c r="AS165" s="1"/>
      <c r="AT165" s="1"/>
      <c r="AU165" s="1"/>
    </row>
    <row r="166" spans="30:47" ht="19.5" customHeight="1"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2"/>
      <c r="AO166" s="1"/>
      <c r="AP166" s="1"/>
      <c r="AQ166" s="1"/>
      <c r="AR166" s="1"/>
      <c r="AS166" s="1"/>
      <c r="AT166" s="1"/>
      <c r="AU166" s="1"/>
    </row>
    <row r="167" spans="30:47" ht="19.5" customHeight="1"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2"/>
      <c r="AO167" s="1"/>
      <c r="AP167" s="1"/>
      <c r="AQ167" s="1"/>
      <c r="AR167" s="1"/>
      <c r="AS167" s="1"/>
      <c r="AT167" s="1"/>
      <c r="AU167" s="1"/>
    </row>
    <row r="168" spans="30:47" ht="19.5" customHeight="1"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2"/>
      <c r="AO168" s="1"/>
      <c r="AP168" s="1"/>
      <c r="AQ168" s="1"/>
      <c r="AR168" s="1"/>
      <c r="AS168" s="1"/>
      <c r="AT168" s="1"/>
      <c r="AU168" s="1"/>
    </row>
    <row r="169" spans="30:47" ht="19.5" customHeight="1"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2"/>
      <c r="AO169" s="1"/>
      <c r="AP169" s="1"/>
      <c r="AQ169" s="1"/>
      <c r="AR169" s="1"/>
      <c r="AS169" s="1"/>
      <c r="AT169" s="1"/>
      <c r="AU169" s="1"/>
    </row>
    <row r="170" spans="30:47" ht="19.5" customHeight="1"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2"/>
      <c r="AO170" s="1"/>
      <c r="AP170" s="1"/>
      <c r="AQ170" s="1"/>
      <c r="AR170" s="1"/>
      <c r="AS170" s="1"/>
      <c r="AT170" s="1"/>
      <c r="AU170" s="1"/>
    </row>
    <row r="171" spans="30:47" ht="19.5" customHeight="1"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2"/>
      <c r="AO171" s="1"/>
      <c r="AP171" s="1"/>
      <c r="AQ171" s="1"/>
      <c r="AR171" s="1"/>
      <c r="AS171" s="1"/>
      <c r="AT171" s="1"/>
      <c r="AU171" s="1"/>
    </row>
    <row r="172" spans="30:47" ht="19.5" customHeight="1"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2"/>
      <c r="AO172" s="1"/>
      <c r="AP172" s="1"/>
      <c r="AQ172" s="1"/>
      <c r="AR172" s="1"/>
      <c r="AS172" s="1"/>
      <c r="AT172" s="1"/>
      <c r="AU172" s="1"/>
    </row>
    <row r="173" spans="30:47" ht="19.5" customHeight="1"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2"/>
      <c r="AO173" s="1"/>
      <c r="AP173" s="1"/>
      <c r="AQ173" s="1"/>
      <c r="AR173" s="1"/>
      <c r="AS173" s="1"/>
      <c r="AT173" s="1"/>
      <c r="AU173" s="1"/>
    </row>
    <row r="174" spans="30:47" ht="19.5" customHeight="1"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2"/>
      <c r="AO174" s="1"/>
      <c r="AP174" s="1"/>
      <c r="AQ174" s="1"/>
      <c r="AR174" s="1"/>
      <c r="AS174" s="1"/>
      <c r="AT174" s="1"/>
      <c r="AU174" s="1"/>
    </row>
    <row r="175" spans="30:47" ht="19.5" customHeight="1"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2"/>
      <c r="AO175" s="1"/>
      <c r="AP175" s="1"/>
      <c r="AQ175" s="1"/>
      <c r="AR175" s="1"/>
      <c r="AS175" s="1"/>
      <c r="AT175" s="1"/>
      <c r="AU175" s="1"/>
    </row>
    <row r="176" spans="30:47" ht="19.5" customHeight="1"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2"/>
      <c r="AO176" s="1"/>
      <c r="AP176" s="1"/>
      <c r="AQ176" s="1"/>
      <c r="AR176" s="1"/>
      <c r="AS176" s="1"/>
      <c r="AT176" s="1"/>
      <c r="AU176" s="1"/>
    </row>
    <row r="177" spans="30:47" ht="19.5" customHeight="1"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2"/>
      <c r="AO177" s="1"/>
      <c r="AP177" s="1"/>
      <c r="AQ177" s="1"/>
      <c r="AR177" s="1"/>
      <c r="AS177" s="1"/>
      <c r="AT177" s="1"/>
      <c r="AU177" s="1"/>
    </row>
    <row r="178" spans="30:47" ht="19.5" customHeight="1"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2"/>
      <c r="AO178" s="1"/>
      <c r="AP178" s="1"/>
      <c r="AQ178" s="1"/>
      <c r="AR178" s="1"/>
      <c r="AS178" s="1"/>
      <c r="AT178" s="1"/>
      <c r="AU178" s="1"/>
    </row>
    <row r="179" spans="30:47" ht="19.5" customHeight="1"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2"/>
      <c r="AO179" s="1"/>
      <c r="AP179" s="1"/>
      <c r="AQ179" s="1"/>
      <c r="AR179" s="1"/>
      <c r="AS179" s="1"/>
      <c r="AT179" s="1"/>
      <c r="AU179" s="1"/>
    </row>
    <row r="180" spans="30:47" ht="19.5" customHeight="1"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2"/>
      <c r="AO180" s="1"/>
      <c r="AP180" s="1"/>
      <c r="AQ180" s="1"/>
      <c r="AR180" s="1"/>
      <c r="AS180" s="1"/>
      <c r="AT180" s="1"/>
      <c r="AU180" s="1"/>
    </row>
    <row r="181" spans="30:47" ht="19.5" customHeight="1"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2"/>
      <c r="AO181" s="1"/>
      <c r="AP181" s="1"/>
      <c r="AQ181" s="1"/>
      <c r="AR181" s="1"/>
      <c r="AS181" s="1"/>
      <c r="AT181" s="1"/>
      <c r="AU181" s="1"/>
    </row>
    <row r="182" spans="30:47" ht="19.5" customHeight="1"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2"/>
      <c r="AO182" s="1"/>
      <c r="AP182" s="1"/>
      <c r="AQ182" s="1"/>
      <c r="AR182" s="1"/>
      <c r="AS182" s="1"/>
      <c r="AT182" s="1"/>
      <c r="AU182" s="1"/>
    </row>
    <row r="183" spans="30:45" ht="19.5" customHeight="1"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2"/>
      <c r="AO183" s="1"/>
      <c r="AP183" s="1"/>
      <c r="AQ183" s="1"/>
      <c r="AR183" s="1"/>
      <c r="AS183" s="1"/>
    </row>
    <row r="184" spans="30:45" ht="19.5" customHeight="1"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2"/>
      <c r="AO184" s="1"/>
      <c r="AP184" s="1"/>
      <c r="AQ184" s="1"/>
      <c r="AR184" s="1"/>
      <c r="AS184" s="1"/>
    </row>
    <row r="185" spans="30:45" ht="19.5" customHeight="1"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2"/>
      <c r="AO185" s="1"/>
      <c r="AP185" s="1"/>
      <c r="AQ185" s="1"/>
      <c r="AR185" s="1"/>
      <c r="AS185" s="1"/>
    </row>
    <row r="186" spans="30:45" ht="19.5" customHeight="1"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2"/>
      <c r="AO186" s="1"/>
      <c r="AP186" s="1"/>
      <c r="AQ186" s="1"/>
      <c r="AR186" s="1"/>
      <c r="AS186" s="1"/>
    </row>
    <row r="187" spans="30:45" ht="19.5" customHeight="1"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2"/>
      <c r="AO187" s="1"/>
      <c r="AP187" s="1"/>
      <c r="AQ187" s="1"/>
      <c r="AR187" s="1"/>
      <c r="AS187" s="1"/>
    </row>
    <row r="188" spans="30:45" ht="19.5" customHeight="1"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2"/>
      <c r="AO188" s="1"/>
      <c r="AP188" s="1"/>
      <c r="AQ188" s="1"/>
      <c r="AR188" s="1"/>
      <c r="AS188" s="1"/>
    </row>
    <row r="189" spans="30:45" ht="19.5" customHeight="1"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2"/>
      <c r="AO189" s="1"/>
      <c r="AP189" s="1"/>
      <c r="AQ189" s="1"/>
      <c r="AR189" s="1"/>
      <c r="AS189" s="1"/>
    </row>
    <row r="190" spans="30:45" ht="19.5" customHeight="1"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2"/>
      <c r="AO190" s="1"/>
      <c r="AP190" s="1"/>
      <c r="AQ190" s="1"/>
      <c r="AR190" s="1"/>
      <c r="AS190" s="1"/>
    </row>
    <row r="191" spans="30:45" ht="19.5" customHeight="1"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2"/>
      <c r="AO191" s="1"/>
      <c r="AP191" s="1"/>
      <c r="AQ191" s="1"/>
      <c r="AR191" s="1"/>
      <c r="AS191" s="1"/>
    </row>
    <row r="192" spans="30:45" ht="19.5" customHeight="1"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2"/>
      <c r="AO192" s="1"/>
      <c r="AP192" s="1"/>
      <c r="AQ192" s="1"/>
      <c r="AR192" s="1"/>
      <c r="AS192" s="1"/>
    </row>
    <row r="193" spans="30:45" ht="19.5" customHeight="1"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2"/>
      <c r="AO193" s="1"/>
      <c r="AP193" s="1"/>
      <c r="AQ193" s="1"/>
      <c r="AR193" s="1"/>
      <c r="AS193" s="1"/>
    </row>
    <row r="194" spans="30:45" ht="19.5" customHeight="1"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2"/>
      <c r="AO194" s="1"/>
      <c r="AP194" s="1"/>
      <c r="AQ194" s="1"/>
      <c r="AR194" s="1"/>
      <c r="AS194" s="1"/>
    </row>
    <row r="195" spans="30:45" ht="19.5" customHeight="1"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2"/>
      <c r="AO195" s="1"/>
      <c r="AP195" s="1"/>
      <c r="AQ195" s="1"/>
      <c r="AR195" s="1"/>
      <c r="AS195" s="1"/>
    </row>
    <row r="196" spans="30:45" ht="19.5" customHeight="1"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2"/>
      <c r="AO196" s="1"/>
      <c r="AP196" s="1"/>
      <c r="AQ196" s="1"/>
      <c r="AR196" s="1"/>
      <c r="AS196" s="1"/>
    </row>
    <row r="197" spans="30:45" ht="19.5" customHeight="1"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2"/>
      <c r="AO197" s="1"/>
      <c r="AP197" s="1"/>
      <c r="AQ197" s="1"/>
      <c r="AR197" s="1"/>
      <c r="AS197" s="1"/>
    </row>
    <row r="198" spans="30:45" ht="19.5" customHeight="1"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2"/>
      <c r="AO198" s="1"/>
      <c r="AP198" s="1"/>
      <c r="AQ198" s="1"/>
      <c r="AR198" s="1"/>
      <c r="AS198" s="1"/>
    </row>
    <row r="199" spans="30:45" ht="19.5" customHeight="1"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2"/>
      <c r="AO199" s="1"/>
      <c r="AP199" s="1"/>
      <c r="AQ199" s="1"/>
      <c r="AR199" s="1"/>
      <c r="AS199" s="1"/>
    </row>
    <row r="200" spans="30:45" ht="19.5" customHeight="1"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2"/>
      <c r="AO200" s="1"/>
      <c r="AP200" s="1"/>
      <c r="AQ200" s="1"/>
      <c r="AR200" s="1"/>
      <c r="AS200" s="1"/>
    </row>
    <row r="201" spans="30:45" ht="19.5" customHeight="1"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2"/>
      <c r="AO201" s="1"/>
      <c r="AP201" s="1"/>
      <c r="AQ201" s="1"/>
      <c r="AR201" s="1"/>
      <c r="AS201" s="1"/>
    </row>
    <row r="202" spans="30:45" ht="19.5" customHeight="1"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2"/>
      <c r="AO202" s="1"/>
      <c r="AP202" s="1"/>
      <c r="AQ202" s="1"/>
      <c r="AR202" s="1"/>
      <c r="AS202" s="1"/>
    </row>
    <row r="203" spans="30:45" ht="19.5" customHeight="1"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2"/>
      <c r="AO203" s="1"/>
      <c r="AP203" s="1"/>
      <c r="AQ203" s="1"/>
      <c r="AR203" s="1"/>
      <c r="AS203" s="1"/>
    </row>
    <row r="204" spans="30:45" ht="19.5" customHeight="1"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2"/>
      <c r="AO204" s="1"/>
      <c r="AP204" s="1"/>
      <c r="AQ204" s="1"/>
      <c r="AR204" s="1"/>
      <c r="AS204" s="1"/>
    </row>
    <row r="205" spans="30:45" ht="19.5" customHeight="1"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2"/>
      <c r="AO205" s="1"/>
      <c r="AP205" s="1"/>
      <c r="AQ205" s="1"/>
      <c r="AR205" s="1"/>
      <c r="AS205" s="1"/>
    </row>
    <row r="206" spans="30:45" ht="19.5" customHeight="1"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2"/>
      <c r="AO206" s="1"/>
      <c r="AP206" s="1"/>
      <c r="AQ206" s="1"/>
      <c r="AR206" s="1"/>
      <c r="AS206" s="1"/>
    </row>
    <row r="207" spans="30:45" ht="19.5" customHeight="1"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2"/>
      <c r="AO207" s="1"/>
      <c r="AP207" s="1"/>
      <c r="AQ207" s="1"/>
      <c r="AR207" s="1"/>
      <c r="AS207" s="1"/>
    </row>
    <row r="208" spans="30:45" ht="19.5" customHeight="1"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2"/>
      <c r="AO208" s="1"/>
      <c r="AP208" s="1"/>
      <c r="AQ208" s="1"/>
      <c r="AR208" s="1"/>
      <c r="AS208" s="1"/>
    </row>
    <row r="209" spans="30:45" ht="19.5" customHeight="1"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2"/>
      <c r="AO209" s="1"/>
      <c r="AP209" s="1"/>
      <c r="AQ209" s="1"/>
      <c r="AR209" s="1"/>
      <c r="AS209" s="1"/>
    </row>
    <row r="210" spans="30:45" ht="19.5" customHeight="1"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2"/>
      <c r="AO210" s="1"/>
      <c r="AP210" s="1"/>
      <c r="AQ210" s="1"/>
      <c r="AR210" s="1"/>
      <c r="AS210" s="1"/>
    </row>
    <row r="211" spans="30:45" ht="19.5" customHeight="1"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2"/>
      <c r="AO211" s="1"/>
      <c r="AP211" s="1"/>
      <c r="AQ211" s="1"/>
      <c r="AR211" s="1"/>
      <c r="AS211" s="1"/>
    </row>
    <row r="212" spans="30:45" ht="19.5" customHeight="1"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2"/>
      <c r="AO212" s="1"/>
      <c r="AP212" s="1"/>
      <c r="AQ212" s="1"/>
      <c r="AR212" s="1"/>
      <c r="AS212" s="1"/>
    </row>
    <row r="213" spans="30:45" ht="19.5" customHeight="1"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2"/>
      <c r="AO213" s="1"/>
      <c r="AP213" s="1"/>
      <c r="AQ213" s="1"/>
      <c r="AR213" s="1"/>
      <c r="AS213" s="1"/>
    </row>
    <row r="214" spans="30:45" ht="19.5" customHeight="1"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2"/>
      <c r="AO214" s="1"/>
      <c r="AP214" s="1"/>
      <c r="AQ214" s="1"/>
      <c r="AR214" s="1"/>
      <c r="AS214" s="1"/>
    </row>
    <row r="215" spans="30:45" ht="19.5" customHeight="1"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2"/>
      <c r="AO215" s="1"/>
      <c r="AP215" s="1"/>
      <c r="AQ215" s="1"/>
      <c r="AR215" s="1"/>
      <c r="AS215" s="1"/>
    </row>
  </sheetData>
  <sheetProtection/>
  <mergeCells count="85">
    <mergeCell ref="D61:E61"/>
    <mergeCell ref="K61:L61"/>
    <mergeCell ref="G2:J2"/>
    <mergeCell ref="G16:J16"/>
    <mergeCell ref="B3:E3"/>
    <mergeCell ref="F3:I3"/>
    <mergeCell ref="A58:H58"/>
    <mergeCell ref="K16:N16"/>
    <mergeCell ref="K2:N2"/>
    <mergeCell ref="J31:M31"/>
    <mergeCell ref="Y16:AD16"/>
    <mergeCell ref="AD3:AG3"/>
    <mergeCell ref="R3:U3"/>
    <mergeCell ref="E67:F67"/>
    <mergeCell ref="J67:K67"/>
    <mergeCell ref="G60:H60"/>
    <mergeCell ref="B45:E45"/>
    <mergeCell ref="B17:E17"/>
    <mergeCell ref="J3:M3"/>
    <mergeCell ref="N3:Q3"/>
    <mergeCell ref="O2:S2"/>
    <mergeCell ref="U2:X2"/>
    <mergeCell ref="Y2:AD2"/>
    <mergeCell ref="B63:C66"/>
    <mergeCell ref="F63:G66"/>
    <mergeCell ref="AD60:AE63"/>
    <mergeCell ref="T60:U63"/>
    <mergeCell ref="R58:S60"/>
    <mergeCell ref="P66:AQ66"/>
    <mergeCell ref="M63:N66"/>
    <mergeCell ref="AP31:AS31"/>
    <mergeCell ref="F45:I45"/>
    <mergeCell ref="J45:M45"/>
    <mergeCell ref="AH45:AK45"/>
    <mergeCell ref="K44:N44"/>
    <mergeCell ref="Z45:AC45"/>
    <mergeCell ref="U44:X44"/>
    <mergeCell ref="AP45:AS45"/>
    <mergeCell ref="Y44:AD44"/>
    <mergeCell ref="AD45:AG45"/>
    <mergeCell ref="AH3:AK3"/>
    <mergeCell ref="I63:J66"/>
    <mergeCell ref="N45:Q45"/>
    <mergeCell ref="V58:W60"/>
    <mergeCell ref="X60:Y63"/>
    <mergeCell ref="P60:Q63"/>
    <mergeCell ref="R45:U45"/>
    <mergeCell ref="V45:Y45"/>
    <mergeCell ref="G44:J44"/>
    <mergeCell ref="AH31:AK31"/>
    <mergeCell ref="AR2:AS2"/>
    <mergeCell ref="AR16:AS16"/>
    <mergeCell ref="AR30:AS30"/>
    <mergeCell ref="AL17:AO17"/>
    <mergeCell ref="AP17:AS17"/>
    <mergeCell ref="AP3:AS3"/>
    <mergeCell ref="AR44:AS44"/>
    <mergeCell ref="AL3:AO3"/>
    <mergeCell ref="B31:E31"/>
    <mergeCell ref="F31:I31"/>
    <mergeCell ref="J17:M17"/>
    <mergeCell ref="G30:J30"/>
    <mergeCell ref="V3:Y3"/>
    <mergeCell ref="F17:I17"/>
    <mergeCell ref="Y30:AD30"/>
    <mergeCell ref="Z3:AC3"/>
    <mergeCell ref="AH17:AK17"/>
    <mergeCell ref="R31:U31"/>
    <mergeCell ref="O16:S16"/>
    <mergeCell ref="U16:X16"/>
    <mergeCell ref="V17:Y17"/>
    <mergeCell ref="Z17:AC17"/>
    <mergeCell ref="R17:U17"/>
    <mergeCell ref="AD17:AG17"/>
    <mergeCell ref="Z31:AC31"/>
    <mergeCell ref="N17:Q17"/>
    <mergeCell ref="AL45:AO45"/>
    <mergeCell ref="O44:S44"/>
    <mergeCell ref="AL31:AO31"/>
    <mergeCell ref="O30:S30"/>
    <mergeCell ref="U30:X30"/>
    <mergeCell ref="N31:Q31"/>
    <mergeCell ref="K30:N30"/>
    <mergeCell ref="AD31:AG31"/>
    <mergeCell ref="V31:Y31"/>
  </mergeCells>
  <conditionalFormatting sqref="S8 K6 W9 G5 O7 AQ14 AM13 AA38:AA41 K34 W37 G33 O35 AQ28 K20:K21 C32 S36 C4 W23 G19 AA24 AA11:AA12 S50 AQ42 AE25:AE26 C18 S22 AM27 AA52:AA55 K48 W51 G47 O49 AM41 C46 AQ56 AM55">
    <cfRule type="cellIs" priority="80" dxfId="258" operator="greaterThanOrEqual" stopIfTrue="1">
      <formula>E4</formula>
    </cfRule>
    <cfRule type="cellIs" priority="81" dxfId="259" operator="lessThanOrEqual" stopIfTrue="1">
      <formula>E4</formula>
    </cfRule>
  </conditionalFormatting>
  <conditionalFormatting sqref="U8 M6 Y9 I5 Q7 AS14 AO13 AC38:AC41 M34 Y37 I33 Q35 AS28 M20:M21 E32 U36 E4 Y23 I19 AC24 AC11:AC12 U50 AG25:AG26 AS42 E18 U22 AO27 AC52:AC55 M48 Y51 I47 Q49 AO41 E46 AS56 AO55">
    <cfRule type="cellIs" priority="82" dxfId="258" operator="lessThanOrEqual" stopIfTrue="1">
      <formula>C4</formula>
    </cfRule>
    <cfRule type="cellIs" priority="83" dxfId="259" operator="greaterThanOrEqual" stopIfTrue="1">
      <formula>C4</formula>
    </cfRule>
  </conditionalFormatting>
  <conditionalFormatting sqref="I4 M4:M5 Q4:Q6 U4:U7 Y4:Y8 AC13:AC14 AO14 I18 M18:M19 M22:M28 AG27:AG28 AC25:AC28 Y24:Y28 U23:U28 E5:E14 I32 M32:M33 Q32:Q34 U32:U35 Y32:Y36 AC32:AC37 AC42 E19:E28 AO26 I34:I42 M35:M42 Q36:Q42 U37:U42 Y38:Y42 AK46:AK53 E33:E42 AK4:AK11 AO32:AO40 I6:I14 M7:M14 Q8:Q14 U9:U14 Y10:Y14 AO12 U18:U21 Q18:Q28 I20:I28 AH12:AK14 AS32:AS41 AS4:AS13 AC18:AC23 Y18:Y22 AS18:AS27 I46 M46:M47 Y46:Y50 AC46:AC51 AC56 AH40:AK42 I48:I56 M49:M56 U51:U56 Y52:Y56 AG32:AG42 E47:E56 AO28 AG18:AG24 AO42 AK32:AK39 AO46:AO54 AK28 AH54:AK56 AG46:AG56 AO56 AH26:AH28 AI28 AI26 AJ26:AJ28 AK18:AK26 AS46:AS55 Q50:Q56 AO5:AO8 AO10 AG4:AG14 Q46:Q48 U46:U49">
    <cfRule type="cellIs" priority="84" dxfId="258" operator="lessThan" stopIfTrue="1">
      <formula>C4</formula>
    </cfRule>
    <cfRule type="cellIs" priority="85" dxfId="259" operator="greaterThan" stopIfTrue="1">
      <formula>C4</formula>
    </cfRule>
    <cfRule type="cellIs" priority="86" dxfId="260" operator="equal" stopIfTrue="1">
      <formula>C4</formula>
    </cfRule>
  </conditionalFormatting>
  <conditionalFormatting sqref="G4 K4:K5 O4:O6 S4:S7 W4:W8 AA13:AA14 AM14 G18 K18:K19 K22:K28 AI32:AI39 AE27:AE28 AA25:AA28 W24:W28 S23:S28 AI4:AI11 G32 K32:K33 O32:O34 S32:S35 W32:W36 AA32:AA37 AA42 S18:S21 C33:C42 G34:G42 K35:K42 O36:O42 S37:S42 W38:W42 AM26 AQ18:AQ27 C5:C14 G6:G14 K7:K14 O8:O14 S9:S14 W10:W14 AM12 O18:O28 C19:C28 G20:G28 AM32:AM40 AQ4:AQ13 AQ32:AQ41 AA18:AA23 W18:W22 AE18:AE24 G46 K46:K47 W46:W50 AA46:AA51 AA56 C47:C56 G48:G56 K49:K56 O50:O56 S51:S56 W52:W56 AE32:AE42 AM28 AI18:AI25 AM42 AI46:AI53 AM46:AM54 AM56 AE46:AE56 AQ46:AQ55 AM5:AM8 AM10 AE4:AE14 O46:O48 S46:S49">
    <cfRule type="cellIs" priority="87" dxfId="258" operator="greaterThan" stopIfTrue="1">
      <formula>E4</formula>
    </cfRule>
    <cfRule type="cellIs" priority="88" dxfId="259" operator="lessThan" stopIfTrue="1">
      <formula>E4</formula>
    </cfRule>
    <cfRule type="cellIs" priority="89" dxfId="260" operator="equal" stopIfTrue="1">
      <formula>E4</formula>
    </cfRule>
  </conditionalFormatting>
  <conditionalFormatting sqref="AI55">
    <cfRule type="cellIs" priority="77" dxfId="258" operator="greaterThan" stopIfTrue="1">
      <formula>AK55</formula>
    </cfRule>
    <cfRule type="cellIs" priority="78" dxfId="259" operator="lessThan" stopIfTrue="1">
      <formula>AK55</formula>
    </cfRule>
    <cfRule type="cellIs" priority="79" dxfId="260" operator="equal" stopIfTrue="1">
      <formula>AK55</formula>
    </cfRule>
  </conditionalFormatting>
  <conditionalFormatting sqref="AI27">
    <cfRule type="cellIs" priority="103" dxfId="258" operator="greaterThan" stopIfTrue="1">
      <formula>AK27</formula>
    </cfRule>
    <cfRule type="cellIs" priority="104" dxfId="259" operator="greaterThan" stopIfTrue="1">
      <formula>AK27</formula>
    </cfRule>
    <cfRule type="cellIs" priority="105" dxfId="260" operator="equal" stopIfTrue="1">
      <formula>AK27</formula>
    </cfRule>
  </conditionalFormatting>
  <conditionalFormatting sqref="AK27">
    <cfRule type="cellIs" priority="106" dxfId="258" operator="lessThan" stopIfTrue="1">
      <formula>AI27</formula>
    </cfRule>
    <cfRule type="cellIs" priority="107" dxfId="259" operator="lessThan" stopIfTrue="1">
      <formula>AI27</formula>
    </cfRule>
    <cfRule type="cellIs" priority="108" dxfId="260" operator="equal" stopIfTrue="1">
      <formula>AI27</formula>
    </cfRule>
  </conditionalFormatting>
  <conditionalFormatting sqref="AA53">
    <cfRule type="cellIs" priority="74" dxfId="258" operator="greaterThan" stopIfTrue="1">
      <formula>AC53</formula>
    </cfRule>
    <cfRule type="cellIs" priority="75" dxfId="259" operator="lessThan" stopIfTrue="1">
      <formula>AC53</formula>
    </cfRule>
    <cfRule type="cellIs" priority="76" dxfId="260" operator="equal" stopIfTrue="1">
      <formula>AC53</formula>
    </cfRule>
  </conditionalFormatting>
  <conditionalFormatting sqref="AC53">
    <cfRule type="cellIs" priority="72" dxfId="258" operator="greaterThanOrEqual" stopIfTrue="1">
      <formula>AE53</formula>
    </cfRule>
    <cfRule type="cellIs" priority="73" dxfId="259" operator="lessThanOrEqual" stopIfTrue="1">
      <formula>AE53</formula>
    </cfRule>
  </conditionalFormatting>
  <conditionalFormatting sqref="AC53">
    <cfRule type="cellIs" priority="69" dxfId="258" operator="greaterThan" stopIfTrue="1">
      <formula>AE53</formula>
    </cfRule>
    <cfRule type="cellIs" priority="70" dxfId="259" operator="lessThan" stopIfTrue="1">
      <formula>AE53</formula>
    </cfRule>
    <cfRule type="cellIs" priority="71" dxfId="260" operator="equal" stopIfTrue="1">
      <formula>AE53</formula>
    </cfRule>
  </conditionalFormatting>
  <conditionalFormatting sqref="AC53">
    <cfRule type="cellIs" priority="66" dxfId="258" operator="lessThan" stopIfTrue="1">
      <formula>AA53</formula>
    </cfRule>
    <cfRule type="cellIs" priority="67" dxfId="259" operator="greaterThan" stopIfTrue="1">
      <formula>AA53</formula>
    </cfRule>
    <cfRule type="cellIs" priority="68" dxfId="260" operator="equal" stopIfTrue="1">
      <formula>AA53</formula>
    </cfRule>
  </conditionalFormatting>
  <conditionalFormatting sqref="AI13">
    <cfRule type="cellIs" priority="63" dxfId="258" operator="greaterThan" stopIfTrue="1">
      <formula>AK13</formula>
    </cfRule>
    <cfRule type="cellIs" priority="64" dxfId="259" operator="lessThan" stopIfTrue="1">
      <formula>AK13</formula>
    </cfRule>
    <cfRule type="cellIs" priority="65" dxfId="260" operator="equal" stopIfTrue="1">
      <formula>AK13</formula>
    </cfRule>
  </conditionalFormatting>
  <conditionalFormatting sqref="AI27">
    <cfRule type="cellIs" priority="60" dxfId="258" operator="greaterThan" stopIfTrue="1">
      <formula>AK27</formula>
    </cfRule>
    <cfRule type="cellIs" priority="61" dxfId="259" operator="lessThan" stopIfTrue="1">
      <formula>AK27</formula>
    </cfRule>
    <cfRule type="cellIs" priority="62" dxfId="260" operator="equal" stopIfTrue="1">
      <formula>AK27</formula>
    </cfRule>
  </conditionalFormatting>
  <conditionalFormatting sqref="AK27">
    <cfRule type="cellIs" priority="57" dxfId="258" operator="lessThan" stopIfTrue="1">
      <formula>AI27</formula>
    </cfRule>
    <cfRule type="cellIs" priority="58" dxfId="259" operator="greaterThan" stopIfTrue="1">
      <formula>AI27</formula>
    </cfRule>
    <cfRule type="cellIs" priority="59" dxfId="260" operator="equal" stopIfTrue="1">
      <formula>AI27</formula>
    </cfRule>
  </conditionalFormatting>
  <conditionalFormatting sqref="AA10">
    <cfRule type="cellIs" priority="47" dxfId="258" operator="greaterThanOrEqual" stopIfTrue="1">
      <formula>AC10</formula>
    </cfRule>
    <cfRule type="cellIs" priority="48" dxfId="259" operator="lessThanOrEqual" stopIfTrue="1">
      <formula>AC10</formula>
    </cfRule>
  </conditionalFormatting>
  <conditionalFormatting sqref="AC10">
    <cfRule type="cellIs" priority="49" dxfId="258" operator="lessThanOrEqual" stopIfTrue="1">
      <formula>AA10</formula>
    </cfRule>
    <cfRule type="cellIs" priority="50" dxfId="259" operator="greaterThanOrEqual" stopIfTrue="1">
      <formula>AA10</formula>
    </cfRule>
  </conditionalFormatting>
  <conditionalFormatting sqref="AC4:AC9">
    <cfRule type="cellIs" priority="51" dxfId="258" operator="lessThan" stopIfTrue="1">
      <formula>AA4</formula>
    </cfRule>
    <cfRule type="cellIs" priority="52" dxfId="259" operator="greaterThan" stopIfTrue="1">
      <formula>AA4</formula>
    </cfRule>
    <cfRule type="cellIs" priority="53" dxfId="260" operator="equal" stopIfTrue="1">
      <formula>AA4</formula>
    </cfRule>
  </conditionalFormatting>
  <conditionalFormatting sqref="AA4:AA9">
    <cfRule type="cellIs" priority="54" dxfId="258" operator="greaterThan" stopIfTrue="1">
      <formula>AC4</formula>
    </cfRule>
    <cfRule type="cellIs" priority="55" dxfId="259" operator="lessThan" stopIfTrue="1">
      <formula>AC4</formula>
    </cfRule>
    <cfRule type="cellIs" priority="56" dxfId="260" operator="equal" stopIfTrue="1">
      <formula>AC4</formula>
    </cfRule>
  </conditionalFormatting>
  <conditionalFormatting sqref="AO25">
    <cfRule type="cellIs" priority="41" dxfId="258" operator="lessThan" stopIfTrue="1">
      <formula>AM25</formula>
    </cfRule>
    <cfRule type="cellIs" priority="42" dxfId="259" operator="greaterThan" stopIfTrue="1">
      <formula>AM25</formula>
    </cfRule>
    <cfRule type="cellIs" priority="43" dxfId="260" operator="equal" stopIfTrue="1">
      <formula>AM25</formula>
    </cfRule>
  </conditionalFormatting>
  <conditionalFormatting sqref="AM25">
    <cfRule type="cellIs" priority="44" dxfId="258" operator="greaterThan" stopIfTrue="1">
      <formula>AO25</formula>
    </cfRule>
    <cfRule type="cellIs" priority="45" dxfId="259" operator="lessThan" stopIfTrue="1">
      <formula>AO25</formula>
    </cfRule>
    <cfRule type="cellIs" priority="46" dxfId="260" operator="equal" stopIfTrue="1">
      <formula>AO25</formula>
    </cfRule>
  </conditionalFormatting>
  <conditionalFormatting sqref="AO11">
    <cfRule type="cellIs" priority="35" dxfId="258" operator="lessThan" stopIfTrue="1">
      <formula>AM11</formula>
    </cfRule>
    <cfRule type="cellIs" priority="36" dxfId="259" operator="greaterThan" stopIfTrue="1">
      <formula>AM11</formula>
    </cfRule>
    <cfRule type="cellIs" priority="37" dxfId="260" operator="equal" stopIfTrue="1">
      <formula>AM11</formula>
    </cfRule>
  </conditionalFormatting>
  <conditionalFormatting sqref="AM11">
    <cfRule type="cellIs" priority="38" dxfId="258" operator="greaterThan" stopIfTrue="1">
      <formula>AO11</formula>
    </cfRule>
    <cfRule type="cellIs" priority="39" dxfId="259" operator="lessThan" stopIfTrue="1">
      <formula>AO11</formula>
    </cfRule>
    <cfRule type="cellIs" priority="40" dxfId="260" operator="equal" stopIfTrue="1">
      <formula>AO11</formula>
    </cfRule>
  </conditionalFormatting>
  <conditionalFormatting sqref="AO4">
    <cfRule type="cellIs" priority="29" dxfId="258" operator="lessThan" stopIfTrue="1">
      <formula>AM4</formula>
    </cfRule>
    <cfRule type="cellIs" priority="30" dxfId="259" operator="greaterThan" stopIfTrue="1">
      <formula>AM4</formula>
    </cfRule>
    <cfRule type="cellIs" priority="31" dxfId="260" operator="equal" stopIfTrue="1">
      <formula>AM4</formula>
    </cfRule>
  </conditionalFormatting>
  <conditionalFormatting sqref="AM4">
    <cfRule type="cellIs" priority="32" dxfId="258" operator="greaterThan" stopIfTrue="1">
      <formula>AO4</formula>
    </cfRule>
    <cfRule type="cellIs" priority="33" dxfId="259" operator="lessThan" stopIfTrue="1">
      <formula>AO4</formula>
    </cfRule>
    <cfRule type="cellIs" priority="34" dxfId="260" operator="equal" stopIfTrue="1">
      <formula>AO4</formula>
    </cfRule>
  </conditionalFormatting>
  <conditionalFormatting sqref="AO18">
    <cfRule type="cellIs" priority="13" dxfId="258" operator="lessThan" stopIfTrue="1">
      <formula>AM18</formula>
    </cfRule>
    <cfRule type="cellIs" priority="14" dxfId="259" operator="greaterThan" stopIfTrue="1">
      <formula>AM18</formula>
    </cfRule>
    <cfRule type="cellIs" priority="15" dxfId="260" operator="equal" stopIfTrue="1">
      <formula>AM18</formula>
    </cfRule>
  </conditionalFormatting>
  <conditionalFormatting sqref="AM18">
    <cfRule type="cellIs" priority="16" dxfId="258" operator="greaterThan" stopIfTrue="1">
      <formula>AO18</formula>
    </cfRule>
    <cfRule type="cellIs" priority="17" dxfId="259" operator="lessThan" stopIfTrue="1">
      <formula>AO18</formula>
    </cfRule>
    <cfRule type="cellIs" priority="18" dxfId="260" operator="equal" stopIfTrue="1">
      <formula>AO18</formula>
    </cfRule>
  </conditionalFormatting>
  <conditionalFormatting sqref="AO19:AO24">
    <cfRule type="cellIs" priority="7" dxfId="258" operator="lessThan" stopIfTrue="1">
      <formula>AM19</formula>
    </cfRule>
    <cfRule type="cellIs" priority="8" dxfId="259" operator="greaterThan" stopIfTrue="1">
      <formula>AM19</formula>
    </cfRule>
    <cfRule type="cellIs" priority="9" dxfId="260" operator="equal" stopIfTrue="1">
      <formula>AM19</formula>
    </cfRule>
  </conditionalFormatting>
  <conditionalFormatting sqref="AM19:AM24">
    <cfRule type="cellIs" priority="10" dxfId="258" operator="greaterThan" stopIfTrue="1">
      <formula>AO19</formula>
    </cfRule>
    <cfRule type="cellIs" priority="11" dxfId="259" operator="lessThan" stopIfTrue="1">
      <formula>AO19</formula>
    </cfRule>
    <cfRule type="cellIs" priority="12" dxfId="260" operator="equal" stopIfTrue="1">
      <formula>AO19</formula>
    </cfRule>
  </conditionalFormatting>
  <conditionalFormatting sqref="AO9">
    <cfRule type="cellIs" priority="1" dxfId="258" operator="lessThan" stopIfTrue="1">
      <formula>AM9</formula>
    </cfRule>
    <cfRule type="cellIs" priority="2" dxfId="259" operator="greaterThan" stopIfTrue="1">
      <formula>AM9</formula>
    </cfRule>
    <cfRule type="cellIs" priority="3" dxfId="260" operator="equal" stopIfTrue="1">
      <formula>AM9</formula>
    </cfRule>
  </conditionalFormatting>
  <conditionalFormatting sqref="AM9">
    <cfRule type="cellIs" priority="4" dxfId="258" operator="greaterThan" stopIfTrue="1">
      <formula>AO9</formula>
    </cfRule>
    <cfRule type="cellIs" priority="5" dxfId="259" operator="lessThan" stopIfTrue="1">
      <formula>AO9</formula>
    </cfRule>
    <cfRule type="cellIs" priority="6" dxfId="260" operator="equal" stopIfTrue="1">
      <formula>AO9</formula>
    </cfRule>
  </conditionalFormatting>
  <printOptions horizontalCentered="1"/>
  <pageMargins left="0.3937007874015748" right="0.3937007874015748" top="0.984251968503937" bottom="0.5511811023622047" header="0.5118110236220472" footer="0.5118110236220472"/>
  <pageSetup cellComments="asDisplayed" horizontalDpi="300" verticalDpi="300" orientation="landscape" paperSize="8" scale="70" r:id="rId4"/>
  <headerFooter alignWithMargins="0">
    <oddHeader>&amp;C２０２３年小金原地区近隣大会Ｃ戦組み合わせ表</oddHeader>
  </headerFooter>
  <rowBreaks count="1" manualBreakCount="1">
    <brk id="29" max="44" man="1"/>
  </rowBreaks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AV162"/>
  <sheetViews>
    <sheetView zoomScaleSheetLayoutView="100" workbookViewId="0" topLeftCell="A1">
      <selection activeCell="E18" sqref="E18"/>
    </sheetView>
  </sheetViews>
  <sheetFormatPr defaultColWidth="9.00390625" defaultRowHeight="19.5" customHeight="1"/>
  <cols>
    <col min="1" max="1" width="15.125" style="3" customWidth="1"/>
    <col min="2" max="6" width="2.625" style="3" customWidth="1"/>
    <col min="7" max="7" width="3.125" style="3" customWidth="1"/>
    <col min="8" max="18" width="2.625" style="3" customWidth="1"/>
    <col min="19" max="19" width="3.25390625" style="3" customWidth="1"/>
    <col min="20" max="25" width="2.625" style="3" customWidth="1"/>
    <col min="26" max="28" width="3.625" style="3" customWidth="1"/>
    <col min="29" max="39" width="2.625" style="3" customWidth="1"/>
    <col min="40" max="40" width="2.625" style="19" customWidth="1"/>
    <col min="41" max="45" width="2.625" style="3" customWidth="1"/>
    <col min="46" max="48" width="3.625" style="3" customWidth="1"/>
    <col min="49" max="16384" width="9.00390625" style="3" customWidth="1"/>
  </cols>
  <sheetData>
    <row r="1" spans="1:48" ht="19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2"/>
      <c r="AO1" s="1"/>
      <c r="AP1" s="1"/>
      <c r="AQ1" s="1"/>
      <c r="AR1" s="1"/>
      <c r="AS1" s="1"/>
      <c r="AT1" s="1"/>
      <c r="AU1" s="1"/>
      <c r="AV1" s="1"/>
    </row>
    <row r="2" spans="1:48" ht="19.5" customHeight="1">
      <c r="A2" s="1" t="s">
        <v>0</v>
      </c>
      <c r="B2" s="73"/>
      <c r="C2" s="51"/>
      <c r="D2" s="51"/>
      <c r="E2" s="51"/>
      <c r="F2" s="51"/>
      <c r="G2" s="171"/>
      <c r="H2" s="171"/>
      <c r="I2" s="171"/>
      <c r="J2" s="171"/>
      <c r="K2" s="163"/>
      <c r="L2" s="163"/>
      <c r="M2" s="163"/>
      <c r="N2" s="163"/>
      <c r="O2" s="165"/>
      <c r="P2" s="165"/>
      <c r="Q2" s="165"/>
      <c r="R2" s="165"/>
      <c r="S2" s="165"/>
      <c r="T2" s="52"/>
      <c r="U2" s="163"/>
      <c r="V2" s="163"/>
      <c r="W2" s="163"/>
      <c r="X2" s="163"/>
      <c r="Y2" s="165"/>
      <c r="Z2" s="165"/>
      <c r="AA2" s="165"/>
      <c r="AB2" s="165"/>
      <c r="AC2" s="189"/>
      <c r="AD2" s="189"/>
      <c r="AE2" s="1"/>
      <c r="AF2" s="1"/>
      <c r="AG2" s="1"/>
      <c r="AH2" s="1"/>
      <c r="AI2" s="1"/>
      <c r="AJ2" s="1"/>
      <c r="AK2" s="1"/>
      <c r="AL2" s="1"/>
      <c r="AM2" s="1"/>
      <c r="AN2" s="54"/>
      <c r="AO2" s="1"/>
      <c r="AP2" s="1"/>
      <c r="AQ2" s="1"/>
      <c r="AR2" s="169"/>
      <c r="AS2" s="169"/>
      <c r="AT2" s="1"/>
      <c r="AU2" s="1"/>
      <c r="AV2" s="1"/>
    </row>
    <row r="3" spans="1:45" ht="19.5" customHeight="1">
      <c r="A3" s="5"/>
      <c r="B3" s="164" t="str">
        <f>+A4</f>
        <v>矢切コンドルス・リトルベアーズ</v>
      </c>
      <c r="C3" s="164"/>
      <c r="D3" s="164"/>
      <c r="E3" s="164"/>
      <c r="F3" s="164" t="str">
        <f>+A5</f>
        <v>小金原ビクトリー</v>
      </c>
      <c r="G3" s="164"/>
      <c r="H3" s="164"/>
      <c r="I3" s="164"/>
      <c r="J3" s="164" t="str">
        <f>+A6</f>
        <v>スーパーフェニックスＪｒ</v>
      </c>
      <c r="K3" s="164"/>
      <c r="L3" s="164"/>
      <c r="M3" s="164"/>
      <c r="N3" s="164" t="str">
        <f>+A7</f>
        <v>リトルキング</v>
      </c>
      <c r="O3" s="164"/>
      <c r="P3" s="164"/>
      <c r="Q3" s="164"/>
      <c r="R3" s="164" t="str">
        <f>+A8</f>
        <v>七次台ジャガーズ</v>
      </c>
      <c r="S3" s="164"/>
      <c r="T3" s="164"/>
      <c r="U3" s="164"/>
      <c r="V3" s="164"/>
      <c r="W3" s="164"/>
      <c r="X3" s="164"/>
      <c r="Y3" s="164"/>
      <c r="Z3" s="25" t="s">
        <v>4</v>
      </c>
      <c r="AA3" s="25" t="s">
        <v>5</v>
      </c>
      <c r="AB3" s="25" t="s">
        <v>6</v>
      </c>
      <c r="AC3" s="109"/>
      <c r="AD3" s="50"/>
      <c r="AE3" s="50"/>
      <c r="AF3" s="50"/>
      <c r="AG3" s="50"/>
      <c r="AH3" s="50"/>
      <c r="AI3" s="50"/>
      <c r="AJ3" s="50"/>
      <c r="AK3" s="50"/>
      <c r="AL3" s="50"/>
      <c r="AM3" s="50"/>
      <c r="AN3" s="50"/>
      <c r="AO3" s="50"/>
      <c r="AP3" s="50"/>
      <c r="AQ3" s="50"/>
      <c r="AR3" s="50"/>
      <c r="AS3" s="50"/>
    </row>
    <row r="4" spans="1:40" ht="19.5" customHeight="1">
      <c r="A4" s="79" t="s">
        <v>100</v>
      </c>
      <c r="B4" s="36"/>
      <c r="C4" s="37"/>
      <c r="D4" s="37"/>
      <c r="E4" s="38"/>
      <c r="F4" s="36"/>
      <c r="G4" s="37">
        <f>IF(E5="","",E5)</f>
        <v>4</v>
      </c>
      <c r="H4" s="37"/>
      <c r="I4" s="38">
        <f>IF(C5="","",C5)</f>
        <v>0</v>
      </c>
      <c r="J4" s="36"/>
      <c r="K4" s="37">
        <f>IF(E6="","",E6)</f>
        <v>7</v>
      </c>
      <c r="L4" s="37"/>
      <c r="M4" s="38">
        <f>IF(C6="","",C6)</f>
        <v>1</v>
      </c>
      <c r="N4" s="36"/>
      <c r="O4" s="37">
        <f>IF(E7="","",E7)</f>
        <v>3</v>
      </c>
      <c r="P4" s="37"/>
      <c r="Q4" s="38">
        <f>IF(C7="","",C7)</f>
        <v>4</v>
      </c>
      <c r="R4" s="36"/>
      <c r="S4" s="37">
        <f>IF(E8="","",E8)</f>
        <v>10</v>
      </c>
      <c r="T4" s="37"/>
      <c r="U4" s="38">
        <f>IF(C8="","",C8)</f>
        <v>0</v>
      </c>
      <c r="V4" s="36"/>
      <c r="W4" s="37">
        <f>IF(E9="","",E9)</f>
      </c>
      <c r="X4" s="37"/>
      <c r="Y4" s="38">
        <f>IF(C9="","",C9)</f>
      </c>
      <c r="Z4" s="40">
        <f aca="true" t="shared" si="0" ref="Z4:Z9">IF(C4&gt;E4,1,0)+IF(G4&gt;I4,1,0)+IF(K4&gt;M4,1,0)+IF(O4&gt;Q4,1,0)+IF(S4&gt;U4,1,0)+IF(W4&gt;Y4,1,0)</f>
        <v>3</v>
      </c>
      <c r="AA4" s="30">
        <f aca="true" t="shared" si="1" ref="AA4:AA9">IF(C4&lt;E4,1,0)+IF(G4&lt;I4,1,0)+IF(K4&lt;M4,1,0)+IF(O4&lt;Q4,1,0)+IF(S4&lt;U4,1,0)+IF(W4&lt;Y4,1,0)</f>
        <v>1</v>
      </c>
      <c r="AB4" s="30">
        <f aca="true" t="shared" si="2" ref="AB4:AB9">IF(AND(ISNUMBER(C4),C4=E4),1,0)+IF(AND(ISNUMBER(G4),G4=I4),1,0)+IF(AND(ISNUMBER(K4),K4=M4),1,)+IF(AND(ISNUMBER(O4),O4=Q4),1,0)+IF(AND(ISNUMBER(S4),S4=U4),1,0)+IF(AND(ISNUMBER(W4),W4=Y4),1,0)</f>
        <v>0</v>
      </c>
      <c r="AN4" s="3"/>
    </row>
    <row r="5" spans="1:40" ht="19.5" customHeight="1">
      <c r="A5" s="79" t="s">
        <v>63</v>
      </c>
      <c r="B5" s="36"/>
      <c r="C5" s="37">
        <v>0</v>
      </c>
      <c r="D5" s="37"/>
      <c r="E5" s="38">
        <v>4</v>
      </c>
      <c r="F5" s="36"/>
      <c r="G5" s="37"/>
      <c r="H5" s="37"/>
      <c r="I5" s="38"/>
      <c r="J5" s="36"/>
      <c r="K5" s="37">
        <f>IF(I6="","",I6)</f>
      </c>
      <c r="L5" s="37"/>
      <c r="M5" s="38">
        <f>IF(G6="","",G6)</f>
      </c>
      <c r="N5" s="36"/>
      <c r="O5" s="37">
        <f>IF(I7="","",I7)</f>
        <v>0</v>
      </c>
      <c r="P5" s="37"/>
      <c r="Q5" s="38">
        <f>IF(G7="","",G7)</f>
        <v>12</v>
      </c>
      <c r="R5" s="36"/>
      <c r="S5" s="37">
        <f>IF(I8="","",I8)</f>
        <v>5</v>
      </c>
      <c r="T5" s="37"/>
      <c r="U5" s="38">
        <f>IF(G8="","",G8)</f>
        <v>16</v>
      </c>
      <c r="V5" s="36"/>
      <c r="W5" s="37">
        <f>IF(I9="","",I9)</f>
      </c>
      <c r="X5" s="37"/>
      <c r="Y5" s="38">
        <f>IF(G9="","",G9)</f>
      </c>
      <c r="Z5" s="40">
        <f t="shared" si="0"/>
        <v>0</v>
      </c>
      <c r="AA5" s="30">
        <f t="shared" si="1"/>
        <v>3</v>
      </c>
      <c r="AB5" s="30">
        <f t="shared" si="2"/>
        <v>0</v>
      </c>
      <c r="AN5" s="3"/>
    </row>
    <row r="6" spans="1:40" ht="19.5" customHeight="1">
      <c r="A6" s="79" t="s">
        <v>101</v>
      </c>
      <c r="B6" s="36"/>
      <c r="C6" s="37">
        <v>1</v>
      </c>
      <c r="D6" s="37"/>
      <c r="E6" s="38">
        <v>7</v>
      </c>
      <c r="F6" s="36"/>
      <c r="G6" s="37"/>
      <c r="H6" s="37"/>
      <c r="I6" s="38"/>
      <c r="J6" s="36"/>
      <c r="K6" s="37"/>
      <c r="L6" s="37"/>
      <c r="M6" s="38"/>
      <c r="N6" s="36"/>
      <c r="O6" s="37">
        <f>IF(M7="","",M7)</f>
        <v>0</v>
      </c>
      <c r="P6" s="37"/>
      <c r="Q6" s="38">
        <f>IF(K7="","",K7)</f>
        <v>7</v>
      </c>
      <c r="R6" s="36"/>
      <c r="S6" s="37">
        <f>IF(M8="","",M8)</f>
        <v>3</v>
      </c>
      <c r="T6" s="37"/>
      <c r="U6" s="38">
        <f>IF(K8="","",K8)</f>
        <v>3</v>
      </c>
      <c r="V6" s="36"/>
      <c r="W6" s="37">
        <f>IF(M9="","",M9)</f>
      </c>
      <c r="X6" s="37"/>
      <c r="Y6" s="38">
        <f>IF(K9="","",K9)</f>
      </c>
      <c r="Z6" s="40">
        <f t="shared" si="0"/>
        <v>0</v>
      </c>
      <c r="AA6" s="30">
        <f t="shared" si="1"/>
        <v>2</v>
      </c>
      <c r="AB6" s="30">
        <f t="shared" si="2"/>
        <v>1</v>
      </c>
      <c r="AN6" s="3"/>
    </row>
    <row r="7" spans="1:40" ht="19.5" customHeight="1">
      <c r="A7" s="79" t="s">
        <v>92</v>
      </c>
      <c r="B7" s="36"/>
      <c r="C7" s="37">
        <v>4</v>
      </c>
      <c r="D7" s="37"/>
      <c r="E7" s="38">
        <v>3</v>
      </c>
      <c r="F7" s="36"/>
      <c r="G7" s="37">
        <v>12</v>
      </c>
      <c r="H7" s="37"/>
      <c r="I7" s="38">
        <v>0</v>
      </c>
      <c r="J7" s="36"/>
      <c r="K7" s="37">
        <v>7</v>
      </c>
      <c r="L7" s="37"/>
      <c r="M7" s="38">
        <v>0</v>
      </c>
      <c r="N7" s="36"/>
      <c r="O7" s="37"/>
      <c r="P7" s="37"/>
      <c r="Q7" s="38"/>
      <c r="R7" s="36"/>
      <c r="S7" s="37">
        <f>IF(Q8="","",Q8)</f>
        <v>7</v>
      </c>
      <c r="T7" s="37"/>
      <c r="U7" s="38">
        <f>IF(O8="","",O8)</f>
        <v>2</v>
      </c>
      <c r="V7" s="36"/>
      <c r="W7" s="37">
        <f>IF(Q9="","",Q9)</f>
      </c>
      <c r="X7" s="37"/>
      <c r="Y7" s="38">
        <f>IF(O9="","",O9)</f>
      </c>
      <c r="Z7" s="40">
        <f t="shared" si="0"/>
        <v>4</v>
      </c>
      <c r="AA7" s="30">
        <f t="shared" si="1"/>
        <v>0</v>
      </c>
      <c r="AB7" s="30">
        <f t="shared" si="2"/>
        <v>0</v>
      </c>
      <c r="AN7" s="3"/>
    </row>
    <row r="8" spans="1:40" ht="19.5" customHeight="1">
      <c r="A8" s="79" t="s">
        <v>102</v>
      </c>
      <c r="B8" s="36"/>
      <c r="C8" s="37">
        <v>0</v>
      </c>
      <c r="D8" s="37"/>
      <c r="E8" s="38">
        <v>10</v>
      </c>
      <c r="F8" s="36"/>
      <c r="G8" s="37">
        <v>16</v>
      </c>
      <c r="H8" s="37"/>
      <c r="I8" s="38">
        <v>5</v>
      </c>
      <c r="J8" s="36"/>
      <c r="K8" s="37">
        <v>3</v>
      </c>
      <c r="L8" s="37"/>
      <c r="M8" s="38">
        <v>3</v>
      </c>
      <c r="N8" s="36"/>
      <c r="O8" s="37">
        <v>2</v>
      </c>
      <c r="P8" s="37"/>
      <c r="Q8" s="38">
        <v>7</v>
      </c>
      <c r="R8" s="36"/>
      <c r="S8" s="37"/>
      <c r="T8" s="37"/>
      <c r="U8" s="38"/>
      <c r="V8" s="36"/>
      <c r="W8" s="37">
        <f>IF(U9="","",U9)</f>
      </c>
      <c r="X8" s="37"/>
      <c r="Y8" s="38">
        <f>IF(S9="","",S9)</f>
      </c>
      <c r="Z8" s="40">
        <f t="shared" si="0"/>
        <v>1</v>
      </c>
      <c r="AA8" s="30">
        <f t="shared" si="1"/>
        <v>2</v>
      </c>
      <c r="AB8" s="30">
        <f t="shared" si="2"/>
        <v>1</v>
      </c>
      <c r="AN8" s="3"/>
    </row>
    <row r="9" spans="1:40" ht="19.5" customHeight="1">
      <c r="A9" s="79"/>
      <c r="B9" s="36"/>
      <c r="C9" s="37"/>
      <c r="D9" s="37"/>
      <c r="E9" s="38"/>
      <c r="F9" s="36"/>
      <c r="G9" s="37"/>
      <c r="H9" s="37"/>
      <c r="I9" s="38"/>
      <c r="J9" s="36"/>
      <c r="K9" s="37"/>
      <c r="L9" s="37"/>
      <c r="M9" s="38"/>
      <c r="N9" s="36"/>
      <c r="O9" s="37"/>
      <c r="P9" s="37"/>
      <c r="Q9" s="38"/>
      <c r="R9" s="36"/>
      <c r="S9" s="37"/>
      <c r="T9" s="37"/>
      <c r="U9" s="38"/>
      <c r="V9" s="36"/>
      <c r="W9" s="37"/>
      <c r="X9" s="37"/>
      <c r="Y9" s="38"/>
      <c r="Z9" s="40">
        <f t="shared" si="0"/>
        <v>0</v>
      </c>
      <c r="AA9" s="30">
        <f t="shared" si="1"/>
        <v>0</v>
      </c>
      <c r="AB9" s="30">
        <f t="shared" si="2"/>
        <v>0</v>
      </c>
      <c r="AN9" s="3"/>
    </row>
    <row r="10" spans="1:45" ht="19.5" customHeight="1">
      <c r="A10" s="4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6">
        <f>SUM(Z4:Z9)</f>
        <v>8</v>
      </c>
      <c r="AA10" s="6">
        <f>SUM(AA4:AA9)</f>
        <v>8</v>
      </c>
      <c r="AB10" s="6">
        <f>SUM(AB4:AB9)</f>
        <v>2</v>
      </c>
      <c r="AC10" s="1"/>
      <c r="AD10" s="1"/>
      <c r="AE10" s="1"/>
      <c r="AF10" s="1"/>
      <c r="AG10" s="4"/>
      <c r="AH10" s="4"/>
      <c r="AI10" s="4"/>
      <c r="AJ10" s="4"/>
      <c r="AK10" s="4"/>
      <c r="AL10" s="4"/>
      <c r="AM10" s="7"/>
      <c r="AN10" s="2"/>
      <c r="AO10" s="1"/>
      <c r="AP10" s="1"/>
      <c r="AQ10" s="1"/>
      <c r="AR10" s="1"/>
      <c r="AS10" s="1"/>
    </row>
    <row r="11" spans="1:48" ht="19.5" customHeight="1">
      <c r="A11" s="78" t="s">
        <v>56</v>
      </c>
      <c r="B11" s="73"/>
      <c r="C11" s="51"/>
      <c r="D11" s="51"/>
      <c r="E11" s="51"/>
      <c r="F11" s="51"/>
      <c r="G11" s="171"/>
      <c r="H11" s="171"/>
      <c r="I11" s="171"/>
      <c r="J11" s="171"/>
      <c r="K11" s="163"/>
      <c r="L11" s="163"/>
      <c r="M11" s="163"/>
      <c r="N11" s="163"/>
      <c r="O11" s="165"/>
      <c r="P11" s="165"/>
      <c r="Q11" s="165"/>
      <c r="R11" s="165"/>
      <c r="S11" s="165"/>
      <c r="T11" s="52"/>
      <c r="U11" s="163"/>
      <c r="V11" s="163"/>
      <c r="W11" s="163"/>
      <c r="X11" s="163"/>
      <c r="Y11" s="165"/>
      <c r="Z11" s="165"/>
      <c r="AA11" s="165"/>
      <c r="AB11" s="165"/>
      <c r="AC11" s="189"/>
      <c r="AD11" s="189"/>
      <c r="AE11" s="1"/>
      <c r="AF11" s="1"/>
      <c r="AG11" s="1"/>
      <c r="AH11" s="1"/>
      <c r="AI11" s="1"/>
      <c r="AJ11" s="1"/>
      <c r="AK11" s="1"/>
      <c r="AL11" s="1"/>
      <c r="AM11" s="1"/>
      <c r="AN11" s="54"/>
      <c r="AO11" s="1"/>
      <c r="AP11" s="1"/>
      <c r="AQ11" s="1"/>
      <c r="AR11" s="169"/>
      <c r="AS11" s="169"/>
      <c r="AT11" s="60">
        <f>IF(Z10=AA10,"","計算間違い")</f>
      </c>
      <c r="AU11" s="1"/>
      <c r="AV11" s="1"/>
    </row>
    <row r="12" spans="1:45" ht="19.5" customHeight="1">
      <c r="A12" s="5"/>
      <c r="B12" s="164" t="str">
        <f>+A13</f>
        <v>野菊野ファイターズ</v>
      </c>
      <c r="C12" s="164"/>
      <c r="D12" s="164"/>
      <c r="E12" s="164"/>
      <c r="F12" s="164" t="str">
        <f>+A14</f>
        <v>柏ドリームス</v>
      </c>
      <c r="G12" s="164"/>
      <c r="H12" s="164"/>
      <c r="I12" s="164"/>
      <c r="J12" s="164" t="str">
        <f>+A15</f>
        <v>増尾レッドスターズ</v>
      </c>
      <c r="K12" s="164"/>
      <c r="L12" s="164"/>
      <c r="M12" s="164"/>
      <c r="N12" s="164" t="str">
        <f>+A16</f>
        <v>木刈ファイターズ</v>
      </c>
      <c r="O12" s="164"/>
      <c r="P12" s="164"/>
      <c r="Q12" s="164"/>
      <c r="R12" s="164" t="str">
        <f>+A17</f>
        <v>八木南クラブ</v>
      </c>
      <c r="S12" s="164"/>
      <c r="T12" s="164"/>
      <c r="U12" s="164"/>
      <c r="V12" s="164"/>
      <c r="W12" s="164"/>
      <c r="X12" s="164"/>
      <c r="Y12" s="164"/>
      <c r="Z12" s="25" t="s">
        <v>4</v>
      </c>
      <c r="AA12" s="25" t="s">
        <v>5</v>
      </c>
      <c r="AB12" s="25" t="s">
        <v>6</v>
      </c>
      <c r="AC12" s="109"/>
      <c r="AD12" s="50"/>
      <c r="AE12" s="50"/>
      <c r="AF12" s="50"/>
      <c r="AG12" s="50"/>
      <c r="AH12" s="50"/>
      <c r="AI12" s="50"/>
      <c r="AJ12" s="50"/>
      <c r="AK12" s="50"/>
      <c r="AL12" s="50"/>
      <c r="AM12" s="50"/>
      <c r="AN12" s="50"/>
      <c r="AO12" s="50"/>
      <c r="AP12" s="50"/>
      <c r="AQ12" s="50"/>
      <c r="AR12" s="50"/>
      <c r="AS12" s="50"/>
    </row>
    <row r="13" spans="1:40" ht="19.5" customHeight="1">
      <c r="A13" s="79" t="s">
        <v>66</v>
      </c>
      <c r="B13" s="36"/>
      <c r="C13" s="37"/>
      <c r="D13" s="37"/>
      <c r="E13" s="38"/>
      <c r="F13" s="36"/>
      <c r="G13" s="37">
        <f>IF(E14="","",E14)</f>
        <v>13</v>
      </c>
      <c r="H13" s="37"/>
      <c r="I13" s="38">
        <f>IF(C14="","",C14)</f>
        <v>16</v>
      </c>
      <c r="J13" s="36"/>
      <c r="K13" s="37">
        <f>IF(E15="","",E15)</f>
        <v>12</v>
      </c>
      <c r="L13" s="37"/>
      <c r="M13" s="38">
        <f>IF(C15="","",C15)</f>
        <v>1</v>
      </c>
      <c r="N13" s="36"/>
      <c r="O13" s="37">
        <f>IF(E16="","",E16)</f>
        <v>8</v>
      </c>
      <c r="P13" s="37"/>
      <c r="Q13" s="38">
        <f>IF(C16="","",C16)</f>
        <v>3</v>
      </c>
      <c r="R13" s="36"/>
      <c r="S13" s="37">
        <f>IF(E17="","",E17)</f>
        <v>6</v>
      </c>
      <c r="T13" s="37"/>
      <c r="U13" s="38">
        <f>IF(C17="","",C17)</f>
        <v>2</v>
      </c>
      <c r="V13" s="36"/>
      <c r="W13" s="37">
        <f>IF(E18="","",E18)</f>
      </c>
      <c r="X13" s="37"/>
      <c r="Y13" s="38">
        <f>IF(C18="","",C18)</f>
      </c>
      <c r="Z13" s="40">
        <f aca="true" t="shared" si="3" ref="Z13:Z18">IF(C13&gt;E13,1,0)+IF(G13&gt;I13,1,0)+IF(K13&gt;M13,1,0)+IF(O13&gt;Q13,1,0)+IF(S13&gt;U13,1,0)+IF(W13&gt;Y13,1,0)</f>
        <v>3</v>
      </c>
      <c r="AA13" s="30">
        <f aca="true" t="shared" si="4" ref="AA13:AA18">IF(C13&lt;E13,1,0)+IF(G13&lt;I13,1,0)+IF(K13&lt;M13,1,0)+IF(O13&lt;Q13,1,0)+IF(S13&lt;U13,1,0)+IF(W13&lt;Y13,1,0)</f>
        <v>1</v>
      </c>
      <c r="AB13" s="30">
        <f aca="true" t="shared" si="5" ref="AB13:AB18">IF(AND(ISNUMBER(C13),C13=E13),1,0)+IF(AND(ISNUMBER(G13),G13=I13),1,0)+IF(AND(ISNUMBER(K13),K13=M13),1,)+IF(AND(ISNUMBER(O13),O13=Q13),1,0)+IF(AND(ISNUMBER(S13),S13=U13),1,0)+IF(AND(ISNUMBER(W13),W13=Y13),1,0)</f>
        <v>0</v>
      </c>
      <c r="AN13" s="3"/>
    </row>
    <row r="14" spans="1:40" ht="19.5" customHeight="1">
      <c r="A14" s="79" t="s">
        <v>86</v>
      </c>
      <c r="B14" s="36"/>
      <c r="C14" s="37">
        <v>16</v>
      </c>
      <c r="D14" s="37"/>
      <c r="E14" s="38">
        <v>13</v>
      </c>
      <c r="F14" s="36"/>
      <c r="G14" s="37"/>
      <c r="H14" s="37"/>
      <c r="I14" s="38"/>
      <c r="J14" s="36"/>
      <c r="K14" s="37">
        <f>IF(I15="","",I15)</f>
        <v>16</v>
      </c>
      <c r="L14" s="37"/>
      <c r="M14" s="38">
        <f>IF(G15="","",G15)</f>
        <v>1</v>
      </c>
      <c r="N14" s="36"/>
      <c r="O14" s="37">
        <f>IF(I16="","",I16)</f>
        <v>29</v>
      </c>
      <c r="P14" s="37"/>
      <c r="Q14" s="38">
        <f>IF(G16="","",G16)</f>
        <v>2</v>
      </c>
      <c r="R14" s="36"/>
      <c r="S14" s="37">
        <f>IF(I17="","",I17)</f>
      </c>
      <c r="T14" s="37"/>
      <c r="U14" s="38">
        <f>IF(G17="","",G17)</f>
      </c>
      <c r="V14" s="36"/>
      <c r="W14" s="37">
        <f>IF(I18="","",I18)</f>
      </c>
      <c r="X14" s="37"/>
      <c r="Y14" s="38">
        <f>IF(G18="","",G18)</f>
      </c>
      <c r="Z14" s="40">
        <f t="shared" si="3"/>
        <v>3</v>
      </c>
      <c r="AA14" s="30">
        <f t="shared" si="4"/>
        <v>0</v>
      </c>
      <c r="AB14" s="30">
        <f t="shared" si="5"/>
        <v>0</v>
      </c>
      <c r="AN14" s="3"/>
    </row>
    <row r="15" spans="1:40" ht="19.5" customHeight="1">
      <c r="A15" s="79" t="s">
        <v>94</v>
      </c>
      <c r="B15" s="36"/>
      <c r="C15" s="37">
        <v>1</v>
      </c>
      <c r="D15" s="37"/>
      <c r="E15" s="38">
        <v>12</v>
      </c>
      <c r="F15" s="36"/>
      <c r="G15" s="37">
        <v>1</v>
      </c>
      <c r="H15" s="37"/>
      <c r="I15" s="38">
        <v>16</v>
      </c>
      <c r="J15" s="36"/>
      <c r="K15" s="37"/>
      <c r="L15" s="37"/>
      <c r="M15" s="38"/>
      <c r="N15" s="36"/>
      <c r="O15" s="37">
        <f>IF(M16="","",M16)</f>
        <v>3</v>
      </c>
      <c r="P15" s="37"/>
      <c r="Q15" s="38">
        <f>IF(K16="","",K16)</f>
        <v>14</v>
      </c>
      <c r="R15" s="36"/>
      <c r="S15" s="37">
        <f>IF(M17="","",M17)</f>
        <v>4</v>
      </c>
      <c r="T15" s="37"/>
      <c r="U15" s="38">
        <f>IF(K17="","",K17)</f>
        <v>19</v>
      </c>
      <c r="V15" s="36"/>
      <c r="W15" s="37">
        <f>IF(M18="","",M18)</f>
      </c>
      <c r="X15" s="37"/>
      <c r="Y15" s="38">
        <f>IF(K18="","",K18)</f>
      </c>
      <c r="Z15" s="40">
        <f t="shared" si="3"/>
        <v>0</v>
      </c>
      <c r="AA15" s="30">
        <f t="shared" si="4"/>
        <v>4</v>
      </c>
      <c r="AB15" s="30">
        <f t="shared" si="5"/>
        <v>0</v>
      </c>
      <c r="AN15" s="3"/>
    </row>
    <row r="16" spans="1:40" ht="19.5" customHeight="1">
      <c r="A16" s="79" t="s">
        <v>87</v>
      </c>
      <c r="B16" s="36"/>
      <c r="C16" s="37">
        <v>3</v>
      </c>
      <c r="D16" s="37"/>
      <c r="E16" s="38">
        <v>8</v>
      </c>
      <c r="F16" s="36"/>
      <c r="G16" s="37">
        <v>2</v>
      </c>
      <c r="H16" s="37"/>
      <c r="I16" s="38">
        <v>29</v>
      </c>
      <c r="J16" s="36"/>
      <c r="K16" s="37">
        <v>14</v>
      </c>
      <c r="L16" s="37"/>
      <c r="M16" s="38">
        <v>3</v>
      </c>
      <c r="N16" s="36"/>
      <c r="O16" s="37"/>
      <c r="P16" s="37"/>
      <c r="Q16" s="38"/>
      <c r="R16" s="36"/>
      <c r="S16" s="37">
        <f>IF(Q17="","",Q17)</f>
      </c>
      <c r="T16" s="37"/>
      <c r="U16" s="38">
        <f>IF(O17="","",O17)</f>
      </c>
      <c r="V16" s="36"/>
      <c r="W16" s="37">
        <f>IF(Q18="","",Q18)</f>
      </c>
      <c r="X16" s="37"/>
      <c r="Y16" s="38">
        <f>IF(O18="","",O18)</f>
      </c>
      <c r="Z16" s="40">
        <f t="shared" si="3"/>
        <v>1</v>
      </c>
      <c r="AA16" s="30">
        <f t="shared" si="4"/>
        <v>2</v>
      </c>
      <c r="AB16" s="30">
        <f t="shared" si="5"/>
        <v>0</v>
      </c>
      <c r="AN16" s="3"/>
    </row>
    <row r="17" spans="1:40" ht="19.5" customHeight="1">
      <c r="A17" s="79" t="s">
        <v>78</v>
      </c>
      <c r="B17" s="36"/>
      <c r="C17" s="37">
        <v>2</v>
      </c>
      <c r="D17" s="37"/>
      <c r="E17" s="38">
        <v>6</v>
      </c>
      <c r="F17" s="36"/>
      <c r="G17" s="37"/>
      <c r="H17" s="37"/>
      <c r="I17" s="38"/>
      <c r="J17" s="36"/>
      <c r="K17" s="37">
        <v>19</v>
      </c>
      <c r="L17" s="37"/>
      <c r="M17" s="38">
        <v>4</v>
      </c>
      <c r="N17" s="36"/>
      <c r="O17" s="37"/>
      <c r="P17" s="37"/>
      <c r="Q17" s="38"/>
      <c r="R17" s="36"/>
      <c r="S17" s="37"/>
      <c r="T17" s="37"/>
      <c r="U17" s="38"/>
      <c r="V17" s="36"/>
      <c r="W17" s="37">
        <f>IF(U18="","",U18)</f>
      </c>
      <c r="X17" s="37"/>
      <c r="Y17" s="38">
        <f>IF(S18="","",S18)</f>
      </c>
      <c r="Z17" s="40">
        <f t="shared" si="3"/>
        <v>1</v>
      </c>
      <c r="AA17" s="30">
        <f t="shared" si="4"/>
        <v>1</v>
      </c>
      <c r="AB17" s="30">
        <f t="shared" si="5"/>
        <v>0</v>
      </c>
      <c r="AN17" s="3"/>
    </row>
    <row r="18" spans="1:40" ht="19.5" customHeight="1">
      <c r="A18" s="79"/>
      <c r="B18" s="36"/>
      <c r="C18" s="37"/>
      <c r="D18" s="37"/>
      <c r="E18" s="38"/>
      <c r="F18" s="36"/>
      <c r="G18" s="37"/>
      <c r="H18" s="37"/>
      <c r="I18" s="38"/>
      <c r="J18" s="36"/>
      <c r="K18" s="37"/>
      <c r="L18" s="37"/>
      <c r="M18" s="38"/>
      <c r="N18" s="36"/>
      <c r="O18" s="37"/>
      <c r="P18" s="37"/>
      <c r="Q18" s="38"/>
      <c r="R18" s="36"/>
      <c r="S18" s="37"/>
      <c r="T18" s="37"/>
      <c r="U18" s="38"/>
      <c r="V18" s="36"/>
      <c r="W18" s="37"/>
      <c r="X18" s="37"/>
      <c r="Y18" s="38"/>
      <c r="Z18" s="40">
        <f t="shared" si="3"/>
        <v>0</v>
      </c>
      <c r="AA18" s="30">
        <f t="shared" si="4"/>
        <v>0</v>
      </c>
      <c r="AB18" s="30">
        <f t="shared" si="5"/>
        <v>0</v>
      </c>
      <c r="AN18" s="3"/>
    </row>
    <row r="19" spans="1:45" ht="19.5" customHeight="1">
      <c r="A19" s="7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>
        <f>SUM(Z13:Z18)</f>
        <v>8</v>
      </c>
      <c r="AA19" s="6">
        <f>SUM(AA13:AA18)</f>
        <v>8</v>
      </c>
      <c r="AB19" s="6">
        <f>SUM(AB13:AB18)</f>
        <v>0</v>
      </c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8"/>
      <c r="AO19" s="1"/>
      <c r="AP19" s="1"/>
      <c r="AQ19" s="1"/>
      <c r="AR19" s="1"/>
      <c r="AS19" s="1"/>
    </row>
    <row r="20" spans="1:48" ht="19.5" customHeight="1">
      <c r="A20" s="117" t="s">
        <v>88</v>
      </c>
      <c r="B20" s="73"/>
      <c r="C20" s="51"/>
      <c r="D20" s="51"/>
      <c r="E20" s="51"/>
      <c r="F20" s="51"/>
      <c r="G20" s="171"/>
      <c r="H20" s="171"/>
      <c r="I20" s="171"/>
      <c r="J20" s="171"/>
      <c r="K20" s="163"/>
      <c r="L20" s="163"/>
      <c r="M20" s="163"/>
      <c r="N20" s="163"/>
      <c r="O20" s="165"/>
      <c r="P20" s="165"/>
      <c r="Q20" s="165"/>
      <c r="R20" s="165"/>
      <c r="S20" s="165"/>
      <c r="T20" s="52"/>
      <c r="U20" s="163"/>
      <c r="V20" s="163"/>
      <c r="W20" s="163"/>
      <c r="X20" s="163"/>
      <c r="Y20" s="165"/>
      <c r="Z20" s="165"/>
      <c r="AA20" s="165"/>
      <c r="AB20" s="165"/>
      <c r="AC20" s="189"/>
      <c r="AD20" s="189"/>
      <c r="AE20" s="6"/>
      <c r="AF20" s="6"/>
      <c r="AG20" s="6"/>
      <c r="AH20" s="1"/>
      <c r="AI20" s="1"/>
      <c r="AJ20" s="1"/>
      <c r="AK20" s="1"/>
      <c r="AL20" s="1"/>
      <c r="AM20" s="1"/>
      <c r="AN20" s="54"/>
      <c r="AO20" s="1"/>
      <c r="AP20" s="1"/>
      <c r="AQ20" s="1"/>
      <c r="AR20" s="169"/>
      <c r="AS20" s="169"/>
      <c r="AT20" s="60">
        <f>IF(Z19=AA19,"","計算間違い")</f>
      </c>
      <c r="AU20" s="1"/>
      <c r="AV20" s="1"/>
    </row>
    <row r="21" spans="1:45" ht="19.5" customHeight="1">
      <c r="A21" s="5"/>
      <c r="B21" s="164" t="str">
        <f>+A22</f>
        <v>牧の原ジュニアーズ</v>
      </c>
      <c r="C21" s="164"/>
      <c r="D21" s="164"/>
      <c r="E21" s="164"/>
      <c r="F21" s="164" t="str">
        <f>+A23</f>
        <v>高柳サンダース</v>
      </c>
      <c r="G21" s="164"/>
      <c r="H21" s="164"/>
      <c r="I21" s="164"/>
      <c r="J21" s="164" t="str">
        <f>+A24</f>
        <v>柏南・新柏ツィンズ</v>
      </c>
      <c r="K21" s="164"/>
      <c r="L21" s="164"/>
      <c r="M21" s="164"/>
      <c r="N21" s="164" t="str">
        <f>+A25</f>
        <v>牧の原キングス</v>
      </c>
      <c r="O21" s="164"/>
      <c r="P21" s="164"/>
      <c r="Q21" s="164"/>
      <c r="R21" s="164"/>
      <c r="S21" s="164"/>
      <c r="T21" s="164"/>
      <c r="U21" s="164"/>
      <c r="V21" s="164"/>
      <c r="W21" s="164"/>
      <c r="X21" s="164"/>
      <c r="Y21" s="164"/>
      <c r="Z21" s="25" t="s">
        <v>4</v>
      </c>
      <c r="AA21" s="25" t="s">
        <v>5</v>
      </c>
      <c r="AB21" s="25" t="s">
        <v>6</v>
      </c>
      <c r="AC21" s="109"/>
      <c r="AD21" s="50"/>
      <c r="AE21" s="50"/>
      <c r="AF21" s="50"/>
      <c r="AG21" s="50"/>
      <c r="AH21" s="50"/>
      <c r="AI21" s="50"/>
      <c r="AJ21" s="50"/>
      <c r="AK21" s="50"/>
      <c r="AL21" s="50"/>
      <c r="AM21" s="50"/>
      <c r="AN21" s="50"/>
      <c r="AO21" s="50"/>
      <c r="AP21" s="50"/>
      <c r="AQ21" s="50"/>
      <c r="AR21" s="50"/>
      <c r="AS21" s="50"/>
    </row>
    <row r="22" spans="1:40" ht="19.5" customHeight="1">
      <c r="A22" s="79" t="s">
        <v>67</v>
      </c>
      <c r="B22" s="36"/>
      <c r="C22" s="37"/>
      <c r="D22" s="37"/>
      <c r="E22" s="38"/>
      <c r="F22" s="36"/>
      <c r="G22" s="37">
        <f>IF(E23="","",E23)</f>
        <v>9</v>
      </c>
      <c r="H22" s="37"/>
      <c r="I22" s="38">
        <f>IF(C23="","",C23)</f>
        <v>1</v>
      </c>
      <c r="J22" s="36"/>
      <c r="K22" s="37">
        <f>IF(E24="","",E24)</f>
        <v>9</v>
      </c>
      <c r="L22" s="37"/>
      <c r="M22" s="38">
        <f>IF(C24="","",C24)</f>
        <v>5</v>
      </c>
      <c r="N22" s="36"/>
      <c r="O22" s="37">
        <f>IF(E25="","",E25)</f>
        <v>6</v>
      </c>
      <c r="P22" s="37"/>
      <c r="Q22" s="38">
        <f>IF(C25="","",C25)</f>
        <v>3</v>
      </c>
      <c r="R22" s="36"/>
      <c r="S22" s="37">
        <f>IF(E26="","",E26)</f>
      </c>
      <c r="T22" s="37"/>
      <c r="U22" s="38">
        <f>IF(C26="","",C26)</f>
      </c>
      <c r="V22" s="36"/>
      <c r="W22" s="37">
        <f>IF(E27="","",E27)</f>
      </c>
      <c r="X22" s="37"/>
      <c r="Y22" s="38">
        <f>IF(C27="","",C27)</f>
      </c>
      <c r="Z22" s="40">
        <f aca="true" t="shared" si="6" ref="Z22:Z27">IF(C22&gt;E22,1,0)+IF(G22&gt;I22,1,0)+IF(K22&gt;M22,1,0)+IF(O22&gt;Q22,1,0)+IF(S22&gt;U22,1,0)+IF(W22&gt;Y22,1,0)</f>
        <v>3</v>
      </c>
      <c r="AA22" s="30">
        <f aca="true" t="shared" si="7" ref="AA22:AA27">IF(C22&lt;E22,1,0)+IF(G22&lt;I22,1,0)+IF(K22&lt;M22,1,0)+IF(O22&lt;Q22,1,0)+IF(S22&lt;U22,1,0)+IF(W22&lt;Y22,1,0)</f>
        <v>0</v>
      </c>
      <c r="AB22" s="30">
        <f aca="true" t="shared" si="8" ref="AB22:AB27">IF(AND(ISNUMBER(C22),C22=E22),1,0)+IF(AND(ISNUMBER(G22),G22=I22),1,0)+IF(AND(ISNUMBER(K22),K22=M22),1,)+IF(AND(ISNUMBER(O22),O22=Q22),1,0)+IF(AND(ISNUMBER(S22),S22=U22),1,0)+IF(AND(ISNUMBER(W22),W22=Y22),1,0)</f>
        <v>0</v>
      </c>
      <c r="AE22" s="50"/>
      <c r="AF22" s="50"/>
      <c r="AG22" s="50"/>
      <c r="AN22" s="3"/>
    </row>
    <row r="23" spans="1:40" ht="19.5" customHeight="1">
      <c r="A23" s="79" t="s">
        <v>93</v>
      </c>
      <c r="B23" s="36"/>
      <c r="C23" s="37">
        <v>1</v>
      </c>
      <c r="D23" s="37"/>
      <c r="E23" s="38">
        <v>9</v>
      </c>
      <c r="F23" s="36"/>
      <c r="G23" s="37"/>
      <c r="H23" s="37"/>
      <c r="I23" s="38"/>
      <c r="J23" s="36"/>
      <c r="K23" s="37">
        <f>IF(I24="","",I24)</f>
      </c>
      <c r="L23" s="37"/>
      <c r="M23" s="38">
        <f>IF(G24="","",G24)</f>
      </c>
      <c r="N23" s="36"/>
      <c r="O23" s="37">
        <f>IF(I25="","",I25)</f>
        <v>3</v>
      </c>
      <c r="P23" s="37"/>
      <c r="Q23" s="38">
        <f>IF(G25="","",G25)</f>
        <v>11</v>
      </c>
      <c r="R23" s="36"/>
      <c r="S23" s="37">
        <f>IF(I26="","",I26)</f>
      </c>
      <c r="T23" s="37"/>
      <c r="U23" s="38">
        <f>IF(G26="","",G26)</f>
      </c>
      <c r="V23" s="36"/>
      <c r="W23" s="37">
        <f>IF(I27="","",I27)</f>
      </c>
      <c r="X23" s="37"/>
      <c r="Y23" s="38">
        <f>IF(G27="","",G27)</f>
      </c>
      <c r="Z23" s="40">
        <f t="shared" si="6"/>
        <v>0</v>
      </c>
      <c r="AA23" s="30">
        <f t="shared" si="7"/>
        <v>2</v>
      </c>
      <c r="AB23" s="30">
        <f t="shared" si="8"/>
        <v>0</v>
      </c>
      <c r="AE23" s="50"/>
      <c r="AF23" s="50"/>
      <c r="AG23" s="50"/>
      <c r="AN23" s="3"/>
    </row>
    <row r="24" spans="1:40" ht="19.5" customHeight="1">
      <c r="A24" s="79" t="s">
        <v>95</v>
      </c>
      <c r="B24" s="36"/>
      <c r="C24" s="37">
        <v>5</v>
      </c>
      <c r="D24" s="37"/>
      <c r="E24" s="38">
        <v>9</v>
      </c>
      <c r="F24" s="36"/>
      <c r="G24" s="37"/>
      <c r="H24" s="37"/>
      <c r="I24" s="38"/>
      <c r="J24" s="36"/>
      <c r="K24" s="37"/>
      <c r="L24" s="37"/>
      <c r="M24" s="38"/>
      <c r="N24" s="36"/>
      <c r="O24" s="37">
        <f>IF(M25="","",M25)</f>
        <v>3</v>
      </c>
      <c r="P24" s="37"/>
      <c r="Q24" s="38">
        <f>IF(K25="","",K25)</f>
        <v>4</v>
      </c>
      <c r="R24" s="36"/>
      <c r="S24" s="37">
        <f>IF(M26="","",M26)</f>
      </c>
      <c r="T24" s="37"/>
      <c r="U24" s="38">
        <f>IF(K26="","",K26)</f>
      </c>
      <c r="V24" s="36"/>
      <c r="W24" s="37">
        <f>IF(M27="","",M27)</f>
      </c>
      <c r="X24" s="37"/>
      <c r="Y24" s="38">
        <f>IF(K27="","",K27)</f>
      </c>
      <c r="Z24" s="40">
        <f t="shared" si="6"/>
        <v>0</v>
      </c>
      <c r="AA24" s="30">
        <f t="shared" si="7"/>
        <v>2</v>
      </c>
      <c r="AB24" s="30">
        <f t="shared" si="8"/>
        <v>0</v>
      </c>
      <c r="AE24" s="50"/>
      <c r="AF24" s="50"/>
      <c r="AG24" s="50"/>
      <c r="AN24" s="3"/>
    </row>
    <row r="25" spans="1:40" ht="19.5" customHeight="1">
      <c r="A25" s="79" t="s">
        <v>103</v>
      </c>
      <c r="B25" s="36"/>
      <c r="C25" s="37">
        <v>3</v>
      </c>
      <c r="D25" s="37"/>
      <c r="E25" s="38">
        <v>6</v>
      </c>
      <c r="F25" s="36"/>
      <c r="G25" s="37">
        <v>11</v>
      </c>
      <c r="H25" s="37"/>
      <c r="I25" s="38">
        <v>3</v>
      </c>
      <c r="J25" s="36"/>
      <c r="K25" s="37">
        <v>4</v>
      </c>
      <c r="L25" s="37"/>
      <c r="M25" s="38">
        <v>3</v>
      </c>
      <c r="N25" s="36"/>
      <c r="O25" s="37"/>
      <c r="P25" s="37"/>
      <c r="Q25" s="38"/>
      <c r="R25" s="36"/>
      <c r="S25" s="37">
        <f>IF(Q26="","",Q26)</f>
      </c>
      <c r="T25" s="37"/>
      <c r="U25" s="38">
        <f>IF(O26="","",O26)</f>
      </c>
      <c r="V25" s="36"/>
      <c r="W25" s="37">
        <f>IF(Q27="","",Q27)</f>
      </c>
      <c r="X25" s="37"/>
      <c r="Y25" s="38">
        <f>IF(O27="","",O27)</f>
      </c>
      <c r="Z25" s="40">
        <f t="shared" si="6"/>
        <v>2</v>
      </c>
      <c r="AA25" s="30">
        <f t="shared" si="7"/>
        <v>1</v>
      </c>
      <c r="AB25" s="30">
        <f t="shared" si="8"/>
        <v>0</v>
      </c>
      <c r="AE25" s="50"/>
      <c r="AF25" s="50"/>
      <c r="AG25" s="50"/>
      <c r="AN25" s="3"/>
    </row>
    <row r="26" spans="1:40" ht="19.5" customHeight="1">
      <c r="A26" s="79"/>
      <c r="B26" s="36"/>
      <c r="C26" s="37"/>
      <c r="D26" s="37"/>
      <c r="E26" s="38"/>
      <c r="F26" s="36"/>
      <c r="G26" s="37"/>
      <c r="H26" s="37"/>
      <c r="I26" s="38"/>
      <c r="J26" s="36"/>
      <c r="K26" s="37"/>
      <c r="L26" s="37"/>
      <c r="M26" s="38"/>
      <c r="N26" s="36"/>
      <c r="O26" s="37"/>
      <c r="P26" s="37"/>
      <c r="Q26" s="38"/>
      <c r="R26" s="36"/>
      <c r="S26" s="37"/>
      <c r="T26" s="37"/>
      <c r="U26" s="38"/>
      <c r="V26" s="36"/>
      <c r="W26" s="37">
        <f>IF(U27="","",U27)</f>
      </c>
      <c r="X26" s="37"/>
      <c r="Y26" s="38">
        <f>IF(S27="","",S27)</f>
      </c>
      <c r="Z26" s="40">
        <f t="shared" si="6"/>
        <v>0</v>
      </c>
      <c r="AA26" s="30">
        <f t="shared" si="7"/>
        <v>0</v>
      </c>
      <c r="AB26" s="30">
        <f t="shared" si="8"/>
        <v>0</v>
      </c>
      <c r="AE26" s="50"/>
      <c r="AF26" s="50"/>
      <c r="AG26" s="50"/>
      <c r="AN26" s="3"/>
    </row>
    <row r="27" spans="1:40" ht="19.5" customHeight="1">
      <c r="A27" s="79"/>
      <c r="B27" s="36"/>
      <c r="C27" s="37"/>
      <c r="D27" s="37"/>
      <c r="E27" s="38"/>
      <c r="F27" s="36"/>
      <c r="G27" s="37"/>
      <c r="H27" s="37"/>
      <c r="I27" s="38"/>
      <c r="J27" s="36"/>
      <c r="K27" s="37"/>
      <c r="L27" s="37"/>
      <c r="M27" s="38"/>
      <c r="N27" s="36"/>
      <c r="O27" s="37"/>
      <c r="P27" s="37"/>
      <c r="Q27" s="38"/>
      <c r="R27" s="36"/>
      <c r="S27" s="37"/>
      <c r="T27" s="37"/>
      <c r="U27" s="38"/>
      <c r="V27" s="36"/>
      <c r="W27" s="37"/>
      <c r="X27" s="37"/>
      <c r="Y27" s="38"/>
      <c r="Z27" s="40">
        <f t="shared" si="6"/>
        <v>0</v>
      </c>
      <c r="AA27" s="30">
        <f t="shared" si="7"/>
        <v>0</v>
      </c>
      <c r="AB27" s="30">
        <f t="shared" si="8"/>
        <v>0</v>
      </c>
      <c r="AE27" s="50"/>
      <c r="AF27" s="50"/>
      <c r="AG27" s="50"/>
      <c r="AN27" s="3"/>
    </row>
    <row r="28" spans="1:47" ht="19.5" customHeight="1">
      <c r="A28" s="7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>
        <f>SUM(Z22:Z27)</f>
        <v>5</v>
      </c>
      <c r="AA28" s="6">
        <f>SUM(AA22:AA27)</f>
        <v>5</v>
      </c>
      <c r="AB28" s="6">
        <f>SUM(AB22:AB27)</f>
        <v>0</v>
      </c>
      <c r="AC28" s="6"/>
      <c r="AD28" s="6"/>
      <c r="AE28" s="6"/>
      <c r="AF28" s="6"/>
      <c r="AG28" s="6"/>
      <c r="AH28" s="1"/>
      <c r="AI28" s="1"/>
      <c r="AJ28" s="1"/>
      <c r="AK28" s="1"/>
      <c r="AL28" s="1"/>
      <c r="AM28" s="1"/>
      <c r="AN28" s="2"/>
      <c r="AO28" s="1"/>
      <c r="AP28" s="1"/>
      <c r="AQ28" s="1"/>
      <c r="AR28" s="1"/>
      <c r="AS28" s="1"/>
      <c r="AT28" s="1"/>
      <c r="AU28" s="1"/>
    </row>
    <row r="29" spans="30:47" ht="19.5" customHeight="1"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2"/>
      <c r="AO29" s="1"/>
      <c r="AP29" s="1"/>
      <c r="AQ29" s="1"/>
      <c r="AR29" s="1"/>
      <c r="AS29" s="1"/>
      <c r="AT29" s="1"/>
      <c r="AU29" s="1"/>
    </row>
    <row r="30" spans="30:47" ht="19.5" customHeight="1"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2"/>
      <c r="AO30" s="1"/>
      <c r="AP30" s="1"/>
      <c r="AQ30" s="1"/>
      <c r="AR30" s="1"/>
      <c r="AS30" s="1"/>
      <c r="AT30" s="1"/>
      <c r="AU30" s="1"/>
    </row>
    <row r="31" spans="30:47" ht="19.5" customHeight="1"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2"/>
      <c r="AO31" s="1"/>
      <c r="AP31" s="1"/>
      <c r="AQ31" s="1"/>
      <c r="AR31" s="1"/>
      <c r="AS31" s="1"/>
      <c r="AT31" s="1"/>
      <c r="AU31" s="1"/>
    </row>
    <row r="32" spans="30:47" ht="19.5" customHeight="1"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2"/>
      <c r="AO32" s="1"/>
      <c r="AP32" s="1"/>
      <c r="AQ32" s="1"/>
      <c r="AR32" s="1"/>
      <c r="AS32" s="1"/>
      <c r="AT32" s="1"/>
      <c r="AU32" s="1"/>
    </row>
    <row r="33" spans="30:47" ht="19.5" customHeight="1"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2"/>
      <c r="AO33" s="1"/>
      <c r="AP33" s="1"/>
      <c r="AQ33" s="1"/>
      <c r="AR33" s="1"/>
      <c r="AS33" s="1"/>
      <c r="AT33" s="1"/>
      <c r="AU33" s="1"/>
    </row>
    <row r="34" spans="30:47" ht="19.5" customHeight="1"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2"/>
      <c r="AO34" s="1"/>
      <c r="AP34" s="1"/>
      <c r="AQ34" s="1"/>
      <c r="AR34" s="1"/>
      <c r="AS34" s="1"/>
      <c r="AT34" s="1"/>
      <c r="AU34" s="1"/>
    </row>
    <row r="35" spans="30:47" ht="19.5" customHeight="1"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2"/>
      <c r="AO35" s="1"/>
      <c r="AP35" s="1"/>
      <c r="AQ35" s="1"/>
      <c r="AR35" s="1"/>
      <c r="AS35" s="1"/>
      <c r="AT35" s="1"/>
      <c r="AU35" s="1"/>
    </row>
    <row r="36" spans="30:47" ht="19.5" customHeight="1"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2"/>
      <c r="AO36" s="1"/>
      <c r="AP36" s="1"/>
      <c r="AQ36" s="1"/>
      <c r="AR36" s="1"/>
      <c r="AS36" s="1"/>
      <c r="AT36" s="1"/>
      <c r="AU36" s="1"/>
    </row>
    <row r="37" spans="30:47" ht="19.5" customHeight="1"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2"/>
      <c r="AO37" s="1"/>
      <c r="AP37" s="1"/>
      <c r="AQ37" s="1"/>
      <c r="AR37" s="1"/>
      <c r="AS37" s="1"/>
      <c r="AT37" s="1"/>
      <c r="AU37" s="1"/>
    </row>
    <row r="38" spans="30:47" ht="19.5" customHeight="1"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2"/>
      <c r="AO38" s="1"/>
      <c r="AP38" s="1"/>
      <c r="AQ38" s="1"/>
      <c r="AR38" s="1"/>
      <c r="AS38" s="1"/>
      <c r="AT38" s="1"/>
      <c r="AU38" s="1"/>
    </row>
    <row r="39" spans="30:47" ht="19.5" customHeight="1"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2"/>
      <c r="AO39" s="1"/>
      <c r="AP39" s="1"/>
      <c r="AQ39" s="1"/>
      <c r="AR39" s="1"/>
      <c r="AS39" s="1"/>
      <c r="AT39" s="1"/>
      <c r="AU39" s="1"/>
    </row>
    <row r="40" spans="30:47" ht="19.5" customHeight="1"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2"/>
      <c r="AO40" s="1"/>
      <c r="AP40" s="1"/>
      <c r="AQ40" s="1"/>
      <c r="AR40" s="1"/>
      <c r="AS40" s="1"/>
      <c r="AT40" s="1"/>
      <c r="AU40" s="1"/>
    </row>
    <row r="41" spans="30:47" ht="19.5" customHeight="1"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2"/>
      <c r="AO41" s="1"/>
      <c r="AP41" s="1"/>
      <c r="AQ41" s="1"/>
      <c r="AR41" s="1"/>
      <c r="AS41" s="1"/>
      <c r="AT41" s="1"/>
      <c r="AU41" s="1"/>
    </row>
    <row r="42" spans="30:47" ht="19.5" customHeight="1"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2"/>
      <c r="AO42" s="1"/>
      <c r="AP42" s="1"/>
      <c r="AQ42" s="1"/>
      <c r="AR42" s="1"/>
      <c r="AS42" s="1"/>
      <c r="AT42" s="1"/>
      <c r="AU42" s="1"/>
    </row>
    <row r="43" spans="30:47" ht="19.5" customHeight="1"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2"/>
      <c r="AO43" s="1"/>
      <c r="AP43" s="1"/>
      <c r="AQ43" s="1"/>
      <c r="AR43" s="1"/>
      <c r="AS43" s="1"/>
      <c r="AT43" s="1"/>
      <c r="AU43" s="1"/>
    </row>
    <row r="44" spans="30:47" ht="19.5" customHeight="1"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2"/>
      <c r="AO44" s="1"/>
      <c r="AP44" s="1"/>
      <c r="AQ44" s="1"/>
      <c r="AR44" s="1"/>
      <c r="AS44" s="1"/>
      <c r="AT44" s="1"/>
      <c r="AU44" s="1"/>
    </row>
    <row r="45" spans="30:47" ht="19.5" customHeight="1"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2"/>
      <c r="AO45" s="1"/>
      <c r="AP45" s="1"/>
      <c r="AQ45" s="1"/>
      <c r="AR45" s="1"/>
      <c r="AS45" s="1"/>
      <c r="AT45" s="1"/>
      <c r="AU45" s="1"/>
    </row>
    <row r="46" spans="30:47" ht="19.5" customHeight="1"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2"/>
      <c r="AO46" s="1"/>
      <c r="AP46" s="1"/>
      <c r="AQ46" s="1"/>
      <c r="AR46" s="1"/>
      <c r="AS46" s="1"/>
      <c r="AT46" s="1"/>
      <c r="AU46" s="1"/>
    </row>
    <row r="47" spans="30:47" ht="19.5" customHeight="1"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2"/>
      <c r="AO47" s="1"/>
      <c r="AP47" s="1"/>
      <c r="AQ47" s="1"/>
      <c r="AR47" s="1"/>
      <c r="AS47" s="1"/>
      <c r="AT47" s="1"/>
      <c r="AU47" s="1"/>
    </row>
    <row r="48" spans="30:47" ht="19.5" customHeight="1"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2"/>
      <c r="AO48" s="1"/>
      <c r="AP48" s="1"/>
      <c r="AQ48" s="1"/>
      <c r="AR48" s="1"/>
      <c r="AS48" s="1"/>
      <c r="AT48" s="1"/>
      <c r="AU48" s="1"/>
    </row>
    <row r="49" spans="30:47" ht="19.5" customHeight="1"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2"/>
      <c r="AO49" s="1"/>
      <c r="AP49" s="1"/>
      <c r="AQ49" s="1"/>
      <c r="AR49" s="1"/>
      <c r="AS49" s="1"/>
      <c r="AT49" s="1"/>
      <c r="AU49" s="1"/>
    </row>
    <row r="50" spans="30:47" ht="19.5" customHeight="1"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2"/>
      <c r="AO50" s="1"/>
      <c r="AP50" s="1"/>
      <c r="AQ50" s="1"/>
      <c r="AR50" s="1"/>
      <c r="AS50" s="1"/>
      <c r="AT50" s="1"/>
      <c r="AU50" s="1"/>
    </row>
    <row r="51" spans="30:47" ht="19.5" customHeight="1"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2"/>
      <c r="AO51" s="1"/>
      <c r="AP51" s="1"/>
      <c r="AQ51" s="1"/>
      <c r="AR51" s="1"/>
      <c r="AS51" s="1"/>
      <c r="AT51" s="1"/>
      <c r="AU51" s="1"/>
    </row>
    <row r="52" spans="30:47" ht="19.5" customHeight="1"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2"/>
      <c r="AO52" s="1"/>
      <c r="AP52" s="1"/>
      <c r="AQ52" s="1"/>
      <c r="AR52" s="1"/>
      <c r="AS52" s="1"/>
      <c r="AT52" s="1"/>
      <c r="AU52" s="1"/>
    </row>
    <row r="53" spans="30:47" ht="19.5" customHeight="1"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2"/>
      <c r="AO53" s="1"/>
      <c r="AP53" s="1"/>
      <c r="AQ53" s="1"/>
      <c r="AR53" s="1"/>
      <c r="AS53" s="1"/>
      <c r="AT53" s="1"/>
      <c r="AU53" s="1"/>
    </row>
    <row r="54" spans="30:47" ht="19.5" customHeight="1"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2"/>
      <c r="AO54" s="1"/>
      <c r="AP54" s="1"/>
      <c r="AQ54" s="1"/>
      <c r="AR54" s="1"/>
      <c r="AS54" s="1"/>
      <c r="AT54" s="1"/>
      <c r="AU54" s="1"/>
    </row>
    <row r="55" spans="30:47" ht="19.5" customHeight="1"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2"/>
      <c r="AO55" s="1"/>
      <c r="AP55" s="1"/>
      <c r="AQ55" s="1"/>
      <c r="AR55" s="1"/>
      <c r="AS55" s="1"/>
      <c r="AT55" s="1"/>
      <c r="AU55" s="1"/>
    </row>
    <row r="56" spans="30:47" ht="19.5" customHeight="1"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2"/>
      <c r="AO56" s="1"/>
      <c r="AP56" s="1"/>
      <c r="AQ56" s="1"/>
      <c r="AR56" s="1"/>
      <c r="AS56" s="1"/>
      <c r="AT56" s="1"/>
      <c r="AU56" s="1"/>
    </row>
    <row r="57" spans="30:47" ht="19.5" customHeight="1"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2"/>
      <c r="AO57" s="1"/>
      <c r="AP57" s="1"/>
      <c r="AQ57" s="1"/>
      <c r="AR57" s="1"/>
      <c r="AS57" s="1"/>
      <c r="AT57" s="1"/>
      <c r="AU57" s="1"/>
    </row>
    <row r="58" spans="30:47" ht="19.5" customHeight="1"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2"/>
      <c r="AO58" s="1"/>
      <c r="AP58" s="1"/>
      <c r="AQ58" s="1"/>
      <c r="AR58" s="1"/>
      <c r="AS58" s="1"/>
      <c r="AT58" s="1"/>
      <c r="AU58" s="1"/>
    </row>
    <row r="59" spans="30:47" ht="19.5" customHeight="1"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2"/>
      <c r="AO59" s="1"/>
      <c r="AP59" s="1"/>
      <c r="AQ59" s="1"/>
      <c r="AR59" s="1"/>
      <c r="AS59" s="1"/>
      <c r="AT59" s="1"/>
      <c r="AU59" s="1"/>
    </row>
    <row r="60" spans="30:47" ht="19.5" customHeight="1"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2"/>
      <c r="AO60" s="1"/>
      <c r="AP60" s="1"/>
      <c r="AQ60" s="1"/>
      <c r="AR60" s="1"/>
      <c r="AS60" s="1"/>
      <c r="AT60" s="1"/>
      <c r="AU60" s="1"/>
    </row>
    <row r="61" spans="30:47" ht="19.5" customHeight="1"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2"/>
      <c r="AO61" s="1"/>
      <c r="AP61" s="1"/>
      <c r="AQ61" s="1"/>
      <c r="AR61" s="1"/>
      <c r="AS61" s="1"/>
      <c r="AT61" s="1"/>
      <c r="AU61" s="1"/>
    </row>
    <row r="62" spans="30:47" ht="19.5" customHeight="1"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2"/>
      <c r="AO62" s="1"/>
      <c r="AP62" s="1"/>
      <c r="AQ62" s="1"/>
      <c r="AR62" s="1"/>
      <c r="AS62" s="1"/>
      <c r="AT62" s="1"/>
      <c r="AU62" s="1"/>
    </row>
    <row r="63" spans="30:47" ht="19.5" customHeight="1"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2"/>
      <c r="AO63" s="1"/>
      <c r="AP63" s="1"/>
      <c r="AQ63" s="1"/>
      <c r="AR63" s="1"/>
      <c r="AS63" s="1"/>
      <c r="AT63" s="1"/>
      <c r="AU63" s="1"/>
    </row>
    <row r="64" spans="30:47" ht="19.5" customHeight="1"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2"/>
      <c r="AO64" s="1"/>
      <c r="AP64" s="1"/>
      <c r="AQ64" s="1"/>
      <c r="AR64" s="1"/>
      <c r="AS64" s="1"/>
      <c r="AT64" s="1"/>
      <c r="AU64" s="1"/>
    </row>
    <row r="65" spans="30:47" ht="19.5" customHeight="1"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2"/>
      <c r="AO65" s="1"/>
      <c r="AP65" s="1"/>
      <c r="AQ65" s="1"/>
      <c r="AR65" s="1"/>
      <c r="AS65" s="1"/>
      <c r="AT65" s="1"/>
      <c r="AU65" s="1"/>
    </row>
    <row r="66" spans="30:47" ht="19.5" customHeight="1"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2"/>
      <c r="AO66" s="1"/>
      <c r="AP66" s="1"/>
      <c r="AQ66" s="1"/>
      <c r="AR66" s="1"/>
      <c r="AS66" s="1"/>
      <c r="AT66" s="1"/>
      <c r="AU66" s="1"/>
    </row>
    <row r="67" spans="30:47" ht="19.5" customHeight="1"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2"/>
      <c r="AO67" s="1"/>
      <c r="AP67" s="1"/>
      <c r="AQ67" s="1"/>
      <c r="AR67" s="1"/>
      <c r="AS67" s="1"/>
      <c r="AT67" s="1"/>
      <c r="AU67" s="1"/>
    </row>
    <row r="68" spans="30:47" ht="19.5" customHeight="1"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2"/>
      <c r="AO68" s="1"/>
      <c r="AP68" s="1"/>
      <c r="AQ68" s="1"/>
      <c r="AR68" s="1"/>
      <c r="AS68" s="1"/>
      <c r="AT68" s="1"/>
      <c r="AU68" s="1"/>
    </row>
    <row r="69" spans="30:47" ht="19.5" customHeight="1"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2"/>
      <c r="AO69" s="1"/>
      <c r="AP69" s="1"/>
      <c r="AQ69" s="1"/>
      <c r="AR69" s="1"/>
      <c r="AS69" s="1"/>
      <c r="AT69" s="1"/>
      <c r="AU69" s="1"/>
    </row>
    <row r="70" spans="30:47" ht="19.5" customHeight="1"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2"/>
      <c r="AO70" s="1"/>
      <c r="AP70" s="1"/>
      <c r="AQ70" s="1"/>
      <c r="AR70" s="1"/>
      <c r="AS70" s="1"/>
      <c r="AT70" s="1"/>
      <c r="AU70" s="1"/>
    </row>
    <row r="71" spans="30:47" ht="19.5" customHeight="1"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2"/>
      <c r="AO71" s="1"/>
      <c r="AP71" s="1"/>
      <c r="AQ71" s="1"/>
      <c r="AR71" s="1"/>
      <c r="AS71" s="1"/>
      <c r="AT71" s="1"/>
      <c r="AU71" s="1"/>
    </row>
    <row r="72" spans="30:47" ht="19.5" customHeight="1"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2"/>
      <c r="AO72" s="1"/>
      <c r="AP72" s="1"/>
      <c r="AQ72" s="1"/>
      <c r="AR72" s="1"/>
      <c r="AS72" s="1"/>
      <c r="AT72" s="1"/>
      <c r="AU72" s="1"/>
    </row>
    <row r="73" spans="30:47" ht="19.5" customHeight="1"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2"/>
      <c r="AO73" s="1"/>
      <c r="AP73" s="1"/>
      <c r="AQ73" s="1"/>
      <c r="AR73" s="1"/>
      <c r="AS73" s="1"/>
      <c r="AT73" s="1"/>
      <c r="AU73" s="1"/>
    </row>
    <row r="74" spans="30:47" ht="19.5" customHeight="1"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2"/>
      <c r="AO74" s="1"/>
      <c r="AP74" s="1"/>
      <c r="AQ74" s="1"/>
      <c r="AR74" s="1"/>
      <c r="AS74" s="1"/>
      <c r="AT74" s="1"/>
      <c r="AU74" s="1"/>
    </row>
    <row r="75" spans="30:47" ht="19.5" customHeight="1"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2"/>
      <c r="AO75" s="1"/>
      <c r="AP75" s="1"/>
      <c r="AQ75" s="1"/>
      <c r="AR75" s="1"/>
      <c r="AS75" s="1"/>
      <c r="AT75" s="1"/>
      <c r="AU75" s="1"/>
    </row>
    <row r="76" spans="30:47" ht="19.5" customHeight="1"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2"/>
      <c r="AO76" s="1"/>
      <c r="AP76" s="1"/>
      <c r="AQ76" s="1"/>
      <c r="AR76" s="1"/>
      <c r="AS76" s="1"/>
      <c r="AT76" s="1"/>
      <c r="AU76" s="1"/>
    </row>
    <row r="77" spans="30:47" ht="19.5" customHeight="1"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2"/>
      <c r="AO77" s="1"/>
      <c r="AP77" s="1"/>
      <c r="AQ77" s="1"/>
      <c r="AR77" s="1"/>
      <c r="AS77" s="1"/>
      <c r="AT77" s="1"/>
      <c r="AU77" s="1"/>
    </row>
    <row r="78" spans="30:47" ht="19.5" customHeight="1"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2"/>
      <c r="AO78" s="1"/>
      <c r="AP78" s="1"/>
      <c r="AQ78" s="1"/>
      <c r="AR78" s="1"/>
      <c r="AS78" s="1"/>
      <c r="AT78" s="1"/>
      <c r="AU78" s="1"/>
    </row>
    <row r="79" spans="30:47" ht="19.5" customHeight="1"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2"/>
      <c r="AO79" s="1"/>
      <c r="AP79" s="1"/>
      <c r="AQ79" s="1"/>
      <c r="AR79" s="1"/>
      <c r="AS79" s="1"/>
      <c r="AT79" s="1"/>
      <c r="AU79" s="1"/>
    </row>
    <row r="80" spans="30:47" ht="19.5" customHeight="1"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2"/>
      <c r="AO80" s="1"/>
      <c r="AP80" s="1"/>
      <c r="AQ80" s="1"/>
      <c r="AR80" s="1"/>
      <c r="AS80" s="1"/>
      <c r="AT80" s="1"/>
      <c r="AU80" s="1"/>
    </row>
    <row r="81" spans="30:47" ht="19.5" customHeight="1"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2"/>
      <c r="AO81" s="1"/>
      <c r="AP81" s="1"/>
      <c r="AQ81" s="1"/>
      <c r="AR81" s="1"/>
      <c r="AS81" s="1"/>
      <c r="AT81" s="1"/>
      <c r="AU81" s="1"/>
    </row>
    <row r="82" spans="30:47" ht="19.5" customHeight="1"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2"/>
      <c r="AO82" s="1"/>
      <c r="AP82" s="1"/>
      <c r="AQ82" s="1"/>
      <c r="AR82" s="1"/>
      <c r="AS82" s="1"/>
      <c r="AT82" s="1"/>
      <c r="AU82" s="1"/>
    </row>
    <row r="83" spans="30:47" ht="19.5" customHeight="1"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2"/>
      <c r="AO83" s="1"/>
      <c r="AP83" s="1"/>
      <c r="AQ83" s="1"/>
      <c r="AR83" s="1"/>
      <c r="AS83" s="1"/>
      <c r="AT83" s="1"/>
      <c r="AU83" s="1"/>
    </row>
    <row r="84" spans="30:47" ht="19.5" customHeight="1"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2"/>
      <c r="AO84" s="1"/>
      <c r="AP84" s="1"/>
      <c r="AQ84" s="1"/>
      <c r="AR84" s="1"/>
      <c r="AS84" s="1"/>
      <c r="AT84" s="1"/>
      <c r="AU84" s="1"/>
    </row>
    <row r="85" spans="30:47" ht="19.5" customHeight="1"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2"/>
      <c r="AO85" s="1"/>
      <c r="AP85" s="1"/>
      <c r="AQ85" s="1"/>
      <c r="AR85" s="1"/>
      <c r="AS85" s="1"/>
      <c r="AT85" s="1"/>
      <c r="AU85" s="1"/>
    </row>
    <row r="86" spans="30:47" ht="19.5" customHeight="1"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2"/>
      <c r="AO86" s="1"/>
      <c r="AP86" s="1"/>
      <c r="AQ86" s="1"/>
      <c r="AR86" s="1"/>
      <c r="AS86" s="1"/>
      <c r="AT86" s="1"/>
      <c r="AU86" s="1"/>
    </row>
    <row r="87" spans="30:47" ht="19.5" customHeight="1"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2"/>
      <c r="AO87" s="1"/>
      <c r="AP87" s="1"/>
      <c r="AQ87" s="1"/>
      <c r="AR87" s="1"/>
      <c r="AS87" s="1"/>
      <c r="AT87" s="1"/>
      <c r="AU87" s="1"/>
    </row>
    <row r="88" spans="30:47" ht="19.5" customHeight="1"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2"/>
      <c r="AO88" s="1"/>
      <c r="AP88" s="1"/>
      <c r="AQ88" s="1"/>
      <c r="AR88" s="1"/>
      <c r="AS88" s="1"/>
      <c r="AT88" s="1"/>
      <c r="AU88" s="1"/>
    </row>
    <row r="89" spans="30:47" ht="19.5" customHeight="1"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2"/>
      <c r="AO89" s="1"/>
      <c r="AP89" s="1"/>
      <c r="AQ89" s="1"/>
      <c r="AR89" s="1"/>
      <c r="AS89" s="1"/>
      <c r="AT89" s="1"/>
      <c r="AU89" s="1"/>
    </row>
    <row r="90" spans="30:47" ht="19.5" customHeight="1"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2"/>
      <c r="AO90" s="1"/>
      <c r="AP90" s="1"/>
      <c r="AQ90" s="1"/>
      <c r="AR90" s="1"/>
      <c r="AS90" s="1"/>
      <c r="AT90" s="1"/>
      <c r="AU90" s="1"/>
    </row>
    <row r="91" spans="30:47" ht="19.5" customHeight="1"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2"/>
      <c r="AO91" s="1"/>
      <c r="AP91" s="1"/>
      <c r="AQ91" s="1"/>
      <c r="AR91" s="1"/>
      <c r="AS91" s="1"/>
      <c r="AT91" s="1"/>
      <c r="AU91" s="1"/>
    </row>
    <row r="92" spans="30:47" ht="19.5" customHeight="1"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2"/>
      <c r="AO92" s="1"/>
      <c r="AP92" s="1"/>
      <c r="AQ92" s="1"/>
      <c r="AR92" s="1"/>
      <c r="AS92" s="1"/>
      <c r="AT92" s="1"/>
      <c r="AU92" s="1"/>
    </row>
    <row r="93" spans="30:47" ht="19.5" customHeight="1"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2"/>
      <c r="AO93" s="1"/>
      <c r="AP93" s="1"/>
      <c r="AQ93" s="1"/>
      <c r="AR93" s="1"/>
      <c r="AS93" s="1"/>
      <c r="AT93" s="1"/>
      <c r="AU93" s="1"/>
    </row>
    <row r="94" spans="30:47" ht="19.5" customHeight="1"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2"/>
      <c r="AO94" s="1"/>
      <c r="AP94" s="1"/>
      <c r="AQ94" s="1"/>
      <c r="AR94" s="1"/>
      <c r="AS94" s="1"/>
      <c r="AT94" s="1"/>
      <c r="AU94" s="1"/>
    </row>
    <row r="95" spans="30:47" ht="19.5" customHeight="1"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2"/>
      <c r="AO95" s="1"/>
      <c r="AP95" s="1"/>
      <c r="AQ95" s="1"/>
      <c r="AR95" s="1"/>
      <c r="AS95" s="1"/>
      <c r="AT95" s="1"/>
      <c r="AU95" s="1"/>
    </row>
    <row r="96" spans="30:47" ht="19.5" customHeight="1"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2"/>
      <c r="AO96" s="1"/>
      <c r="AP96" s="1"/>
      <c r="AQ96" s="1"/>
      <c r="AR96" s="1"/>
      <c r="AS96" s="1"/>
      <c r="AT96" s="1"/>
      <c r="AU96" s="1"/>
    </row>
    <row r="97" spans="30:47" ht="19.5" customHeight="1"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2"/>
      <c r="AO97" s="1"/>
      <c r="AP97" s="1"/>
      <c r="AQ97" s="1"/>
      <c r="AR97" s="1"/>
      <c r="AS97" s="1"/>
      <c r="AT97" s="1"/>
      <c r="AU97" s="1"/>
    </row>
    <row r="98" spans="30:47" ht="19.5" customHeight="1"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2"/>
      <c r="AO98" s="1"/>
      <c r="AP98" s="1"/>
      <c r="AQ98" s="1"/>
      <c r="AR98" s="1"/>
      <c r="AS98" s="1"/>
      <c r="AT98" s="1"/>
      <c r="AU98" s="1"/>
    </row>
    <row r="99" spans="30:47" ht="19.5" customHeight="1"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2"/>
      <c r="AO99" s="1"/>
      <c r="AP99" s="1"/>
      <c r="AQ99" s="1"/>
      <c r="AR99" s="1"/>
      <c r="AS99" s="1"/>
      <c r="AT99" s="1"/>
      <c r="AU99" s="1"/>
    </row>
    <row r="100" spans="30:47" ht="19.5" customHeight="1"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2"/>
      <c r="AO100" s="1"/>
      <c r="AP100" s="1"/>
      <c r="AQ100" s="1"/>
      <c r="AR100" s="1"/>
      <c r="AS100" s="1"/>
      <c r="AT100" s="1"/>
      <c r="AU100" s="1"/>
    </row>
    <row r="101" spans="30:47" ht="19.5" customHeight="1"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2"/>
      <c r="AO101" s="1"/>
      <c r="AP101" s="1"/>
      <c r="AQ101" s="1"/>
      <c r="AR101" s="1"/>
      <c r="AS101" s="1"/>
      <c r="AT101" s="1"/>
      <c r="AU101" s="1"/>
    </row>
    <row r="102" spans="30:47" ht="19.5" customHeight="1"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2"/>
      <c r="AO102" s="1"/>
      <c r="AP102" s="1"/>
      <c r="AQ102" s="1"/>
      <c r="AR102" s="1"/>
      <c r="AS102" s="1"/>
      <c r="AT102" s="1"/>
      <c r="AU102" s="1"/>
    </row>
    <row r="103" spans="30:47" ht="19.5" customHeight="1"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2"/>
      <c r="AO103" s="1"/>
      <c r="AP103" s="1"/>
      <c r="AQ103" s="1"/>
      <c r="AR103" s="1"/>
      <c r="AS103" s="1"/>
      <c r="AT103" s="1"/>
      <c r="AU103" s="1"/>
    </row>
    <row r="104" spans="30:47" ht="19.5" customHeight="1"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2"/>
      <c r="AO104" s="1"/>
      <c r="AP104" s="1"/>
      <c r="AQ104" s="1"/>
      <c r="AR104" s="1"/>
      <c r="AS104" s="1"/>
      <c r="AT104" s="1"/>
      <c r="AU104" s="1"/>
    </row>
    <row r="105" spans="30:47" ht="19.5" customHeight="1"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2"/>
      <c r="AO105" s="1"/>
      <c r="AP105" s="1"/>
      <c r="AQ105" s="1"/>
      <c r="AR105" s="1"/>
      <c r="AS105" s="1"/>
      <c r="AT105" s="1"/>
      <c r="AU105" s="1"/>
    </row>
    <row r="106" spans="30:47" ht="19.5" customHeight="1"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2"/>
      <c r="AO106" s="1"/>
      <c r="AP106" s="1"/>
      <c r="AQ106" s="1"/>
      <c r="AR106" s="1"/>
      <c r="AS106" s="1"/>
      <c r="AT106" s="1"/>
      <c r="AU106" s="1"/>
    </row>
    <row r="107" spans="30:47" ht="19.5" customHeight="1"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2"/>
      <c r="AO107" s="1"/>
      <c r="AP107" s="1"/>
      <c r="AQ107" s="1"/>
      <c r="AR107" s="1"/>
      <c r="AS107" s="1"/>
      <c r="AT107" s="1"/>
      <c r="AU107" s="1"/>
    </row>
    <row r="108" spans="30:47" ht="19.5" customHeight="1"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2"/>
      <c r="AO108" s="1"/>
      <c r="AP108" s="1"/>
      <c r="AQ108" s="1"/>
      <c r="AR108" s="1"/>
      <c r="AS108" s="1"/>
      <c r="AT108" s="1"/>
      <c r="AU108" s="1"/>
    </row>
    <row r="109" spans="30:47" ht="19.5" customHeight="1"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2"/>
      <c r="AO109" s="1"/>
      <c r="AP109" s="1"/>
      <c r="AQ109" s="1"/>
      <c r="AR109" s="1"/>
      <c r="AS109" s="1"/>
      <c r="AT109" s="1"/>
      <c r="AU109" s="1"/>
    </row>
    <row r="110" spans="30:47" ht="19.5" customHeight="1"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2"/>
      <c r="AO110" s="1"/>
      <c r="AP110" s="1"/>
      <c r="AQ110" s="1"/>
      <c r="AR110" s="1"/>
      <c r="AS110" s="1"/>
      <c r="AT110" s="1"/>
      <c r="AU110" s="1"/>
    </row>
    <row r="111" spans="30:47" ht="19.5" customHeight="1"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2"/>
      <c r="AO111" s="1"/>
      <c r="AP111" s="1"/>
      <c r="AQ111" s="1"/>
      <c r="AR111" s="1"/>
      <c r="AS111" s="1"/>
      <c r="AT111" s="1"/>
      <c r="AU111" s="1"/>
    </row>
    <row r="112" spans="30:47" ht="19.5" customHeight="1"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2"/>
      <c r="AO112" s="1"/>
      <c r="AP112" s="1"/>
      <c r="AQ112" s="1"/>
      <c r="AR112" s="1"/>
      <c r="AS112" s="1"/>
      <c r="AT112" s="1"/>
      <c r="AU112" s="1"/>
    </row>
    <row r="113" spans="30:47" ht="19.5" customHeight="1"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2"/>
      <c r="AO113" s="1"/>
      <c r="AP113" s="1"/>
      <c r="AQ113" s="1"/>
      <c r="AR113" s="1"/>
      <c r="AS113" s="1"/>
      <c r="AT113" s="1"/>
      <c r="AU113" s="1"/>
    </row>
    <row r="114" spans="30:47" ht="19.5" customHeight="1"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2"/>
      <c r="AO114" s="1"/>
      <c r="AP114" s="1"/>
      <c r="AQ114" s="1"/>
      <c r="AR114" s="1"/>
      <c r="AS114" s="1"/>
      <c r="AT114" s="1"/>
      <c r="AU114" s="1"/>
    </row>
    <row r="115" spans="30:47" ht="19.5" customHeight="1"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2"/>
      <c r="AO115" s="1"/>
      <c r="AP115" s="1"/>
      <c r="AQ115" s="1"/>
      <c r="AR115" s="1"/>
      <c r="AS115" s="1"/>
      <c r="AT115" s="1"/>
      <c r="AU115" s="1"/>
    </row>
    <row r="116" spans="30:47" ht="19.5" customHeight="1"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2"/>
      <c r="AO116" s="1"/>
      <c r="AP116" s="1"/>
      <c r="AQ116" s="1"/>
      <c r="AR116" s="1"/>
      <c r="AS116" s="1"/>
      <c r="AT116" s="1"/>
      <c r="AU116" s="1"/>
    </row>
    <row r="117" spans="30:47" ht="19.5" customHeight="1"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2"/>
      <c r="AO117" s="1"/>
      <c r="AP117" s="1"/>
      <c r="AQ117" s="1"/>
      <c r="AR117" s="1"/>
      <c r="AS117" s="1"/>
      <c r="AT117" s="1"/>
      <c r="AU117" s="1"/>
    </row>
    <row r="118" spans="30:47" ht="19.5" customHeight="1"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2"/>
      <c r="AO118" s="1"/>
      <c r="AP118" s="1"/>
      <c r="AQ118" s="1"/>
      <c r="AR118" s="1"/>
      <c r="AS118" s="1"/>
      <c r="AT118" s="1"/>
      <c r="AU118" s="1"/>
    </row>
    <row r="119" spans="30:47" ht="19.5" customHeight="1"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2"/>
      <c r="AO119" s="1"/>
      <c r="AP119" s="1"/>
      <c r="AQ119" s="1"/>
      <c r="AR119" s="1"/>
      <c r="AS119" s="1"/>
      <c r="AT119" s="1"/>
      <c r="AU119" s="1"/>
    </row>
    <row r="120" spans="30:47" ht="19.5" customHeight="1"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2"/>
      <c r="AO120" s="1"/>
      <c r="AP120" s="1"/>
      <c r="AQ120" s="1"/>
      <c r="AR120" s="1"/>
      <c r="AS120" s="1"/>
      <c r="AT120" s="1"/>
      <c r="AU120" s="1"/>
    </row>
    <row r="121" spans="30:47" ht="19.5" customHeight="1"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2"/>
      <c r="AO121" s="1"/>
      <c r="AP121" s="1"/>
      <c r="AQ121" s="1"/>
      <c r="AR121" s="1"/>
      <c r="AS121" s="1"/>
      <c r="AT121" s="1"/>
      <c r="AU121" s="1"/>
    </row>
    <row r="122" spans="30:47" ht="19.5" customHeight="1"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2"/>
      <c r="AO122" s="1"/>
      <c r="AP122" s="1"/>
      <c r="AQ122" s="1"/>
      <c r="AR122" s="1"/>
      <c r="AS122" s="1"/>
      <c r="AT122" s="1"/>
      <c r="AU122" s="1"/>
    </row>
    <row r="123" spans="30:47" ht="19.5" customHeight="1"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2"/>
      <c r="AO123" s="1"/>
      <c r="AP123" s="1"/>
      <c r="AQ123" s="1"/>
      <c r="AR123" s="1"/>
      <c r="AS123" s="1"/>
      <c r="AT123" s="1"/>
      <c r="AU123" s="1"/>
    </row>
    <row r="124" spans="30:47" ht="19.5" customHeight="1"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2"/>
      <c r="AO124" s="1"/>
      <c r="AP124" s="1"/>
      <c r="AQ124" s="1"/>
      <c r="AR124" s="1"/>
      <c r="AS124" s="1"/>
      <c r="AT124" s="1"/>
      <c r="AU124" s="1"/>
    </row>
    <row r="125" spans="30:47" ht="19.5" customHeight="1"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2"/>
      <c r="AO125" s="1"/>
      <c r="AP125" s="1"/>
      <c r="AQ125" s="1"/>
      <c r="AR125" s="1"/>
      <c r="AS125" s="1"/>
      <c r="AT125" s="1"/>
      <c r="AU125" s="1"/>
    </row>
    <row r="126" spans="30:47" ht="19.5" customHeight="1"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2"/>
      <c r="AO126" s="1"/>
      <c r="AP126" s="1"/>
      <c r="AQ126" s="1"/>
      <c r="AR126" s="1"/>
      <c r="AS126" s="1"/>
      <c r="AT126" s="1"/>
      <c r="AU126" s="1"/>
    </row>
    <row r="127" spans="30:47" ht="19.5" customHeight="1"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2"/>
      <c r="AO127" s="1"/>
      <c r="AP127" s="1"/>
      <c r="AQ127" s="1"/>
      <c r="AR127" s="1"/>
      <c r="AS127" s="1"/>
      <c r="AT127" s="1"/>
      <c r="AU127" s="1"/>
    </row>
    <row r="128" spans="30:47" ht="19.5" customHeight="1"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2"/>
      <c r="AO128" s="1"/>
      <c r="AP128" s="1"/>
      <c r="AQ128" s="1"/>
      <c r="AR128" s="1"/>
      <c r="AS128" s="1"/>
      <c r="AT128" s="1"/>
      <c r="AU128" s="1"/>
    </row>
    <row r="129" spans="30:47" ht="19.5" customHeight="1"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2"/>
      <c r="AO129" s="1"/>
      <c r="AP129" s="1"/>
      <c r="AQ129" s="1"/>
      <c r="AR129" s="1"/>
      <c r="AS129" s="1"/>
      <c r="AT129" s="1"/>
      <c r="AU129" s="1"/>
    </row>
    <row r="130" spans="30:45" ht="19.5" customHeight="1"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2"/>
      <c r="AO130" s="1"/>
      <c r="AP130" s="1"/>
      <c r="AQ130" s="1"/>
      <c r="AR130" s="1"/>
      <c r="AS130" s="1"/>
    </row>
    <row r="131" spans="30:45" ht="19.5" customHeight="1"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2"/>
      <c r="AO131" s="1"/>
      <c r="AP131" s="1"/>
      <c r="AQ131" s="1"/>
      <c r="AR131" s="1"/>
      <c r="AS131" s="1"/>
    </row>
    <row r="132" spans="30:45" ht="19.5" customHeight="1"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2"/>
      <c r="AO132" s="1"/>
      <c r="AP132" s="1"/>
      <c r="AQ132" s="1"/>
      <c r="AR132" s="1"/>
      <c r="AS132" s="1"/>
    </row>
    <row r="133" spans="30:45" ht="19.5" customHeight="1"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2"/>
      <c r="AO133" s="1"/>
      <c r="AP133" s="1"/>
      <c r="AQ133" s="1"/>
      <c r="AR133" s="1"/>
      <c r="AS133" s="1"/>
    </row>
    <row r="134" spans="30:45" ht="19.5" customHeight="1"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2"/>
      <c r="AO134" s="1"/>
      <c r="AP134" s="1"/>
      <c r="AQ134" s="1"/>
      <c r="AR134" s="1"/>
      <c r="AS134" s="1"/>
    </row>
    <row r="135" spans="30:45" ht="19.5" customHeight="1"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2"/>
      <c r="AO135" s="1"/>
      <c r="AP135" s="1"/>
      <c r="AQ135" s="1"/>
      <c r="AR135" s="1"/>
      <c r="AS135" s="1"/>
    </row>
    <row r="136" spans="30:45" ht="19.5" customHeight="1"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2"/>
      <c r="AO136" s="1"/>
      <c r="AP136" s="1"/>
      <c r="AQ136" s="1"/>
      <c r="AR136" s="1"/>
      <c r="AS136" s="1"/>
    </row>
    <row r="137" spans="30:45" ht="19.5" customHeight="1"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2"/>
      <c r="AO137" s="1"/>
      <c r="AP137" s="1"/>
      <c r="AQ137" s="1"/>
      <c r="AR137" s="1"/>
      <c r="AS137" s="1"/>
    </row>
    <row r="138" spans="30:45" ht="19.5" customHeight="1"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2"/>
      <c r="AO138" s="1"/>
      <c r="AP138" s="1"/>
      <c r="AQ138" s="1"/>
      <c r="AR138" s="1"/>
      <c r="AS138" s="1"/>
    </row>
    <row r="139" spans="30:45" ht="19.5" customHeight="1"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2"/>
      <c r="AO139" s="1"/>
      <c r="AP139" s="1"/>
      <c r="AQ139" s="1"/>
      <c r="AR139" s="1"/>
      <c r="AS139" s="1"/>
    </row>
    <row r="140" spans="30:45" ht="19.5" customHeight="1"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2"/>
      <c r="AO140" s="1"/>
      <c r="AP140" s="1"/>
      <c r="AQ140" s="1"/>
      <c r="AR140" s="1"/>
      <c r="AS140" s="1"/>
    </row>
    <row r="141" spans="30:45" ht="19.5" customHeight="1"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2"/>
      <c r="AO141" s="1"/>
      <c r="AP141" s="1"/>
      <c r="AQ141" s="1"/>
      <c r="AR141" s="1"/>
      <c r="AS141" s="1"/>
    </row>
    <row r="142" spans="30:45" ht="19.5" customHeight="1"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2"/>
      <c r="AO142" s="1"/>
      <c r="AP142" s="1"/>
      <c r="AQ142" s="1"/>
      <c r="AR142" s="1"/>
      <c r="AS142" s="1"/>
    </row>
    <row r="143" spans="30:45" ht="19.5" customHeight="1"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2"/>
      <c r="AO143" s="1"/>
      <c r="AP143" s="1"/>
      <c r="AQ143" s="1"/>
      <c r="AR143" s="1"/>
      <c r="AS143" s="1"/>
    </row>
    <row r="144" spans="30:45" ht="19.5" customHeight="1"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2"/>
      <c r="AO144" s="1"/>
      <c r="AP144" s="1"/>
      <c r="AQ144" s="1"/>
      <c r="AR144" s="1"/>
      <c r="AS144" s="1"/>
    </row>
    <row r="145" spans="30:45" ht="19.5" customHeight="1"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2"/>
      <c r="AO145" s="1"/>
      <c r="AP145" s="1"/>
      <c r="AQ145" s="1"/>
      <c r="AR145" s="1"/>
      <c r="AS145" s="1"/>
    </row>
    <row r="146" spans="30:45" ht="19.5" customHeight="1"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2"/>
      <c r="AO146" s="1"/>
      <c r="AP146" s="1"/>
      <c r="AQ146" s="1"/>
      <c r="AR146" s="1"/>
      <c r="AS146" s="1"/>
    </row>
    <row r="147" spans="30:45" ht="19.5" customHeight="1"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2"/>
      <c r="AO147" s="1"/>
      <c r="AP147" s="1"/>
      <c r="AQ147" s="1"/>
      <c r="AR147" s="1"/>
      <c r="AS147" s="1"/>
    </row>
    <row r="148" spans="30:45" ht="19.5" customHeight="1"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2"/>
      <c r="AO148" s="1"/>
      <c r="AP148" s="1"/>
      <c r="AQ148" s="1"/>
      <c r="AR148" s="1"/>
      <c r="AS148" s="1"/>
    </row>
    <row r="149" spans="30:45" ht="19.5" customHeight="1"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2"/>
      <c r="AO149" s="1"/>
      <c r="AP149" s="1"/>
      <c r="AQ149" s="1"/>
      <c r="AR149" s="1"/>
      <c r="AS149" s="1"/>
    </row>
    <row r="150" spans="30:45" ht="19.5" customHeight="1"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2"/>
      <c r="AO150" s="1"/>
      <c r="AP150" s="1"/>
      <c r="AQ150" s="1"/>
      <c r="AR150" s="1"/>
      <c r="AS150" s="1"/>
    </row>
    <row r="151" spans="30:45" ht="19.5" customHeight="1"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2"/>
      <c r="AO151" s="1"/>
      <c r="AP151" s="1"/>
      <c r="AQ151" s="1"/>
      <c r="AR151" s="1"/>
      <c r="AS151" s="1"/>
    </row>
    <row r="152" spans="30:45" ht="19.5" customHeight="1"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2"/>
      <c r="AO152" s="1"/>
      <c r="AP152" s="1"/>
      <c r="AQ152" s="1"/>
      <c r="AR152" s="1"/>
      <c r="AS152" s="1"/>
    </row>
    <row r="153" spans="30:45" ht="19.5" customHeight="1"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2"/>
      <c r="AO153" s="1"/>
      <c r="AP153" s="1"/>
      <c r="AQ153" s="1"/>
      <c r="AR153" s="1"/>
      <c r="AS153" s="1"/>
    </row>
    <row r="154" spans="30:45" ht="19.5" customHeight="1"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2"/>
      <c r="AO154" s="1"/>
      <c r="AP154" s="1"/>
      <c r="AQ154" s="1"/>
      <c r="AR154" s="1"/>
      <c r="AS154" s="1"/>
    </row>
    <row r="155" spans="30:45" ht="19.5" customHeight="1"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2"/>
      <c r="AO155" s="1"/>
      <c r="AP155" s="1"/>
      <c r="AQ155" s="1"/>
      <c r="AR155" s="1"/>
      <c r="AS155" s="1"/>
    </row>
    <row r="156" spans="30:45" ht="19.5" customHeight="1"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2"/>
      <c r="AO156" s="1"/>
      <c r="AP156" s="1"/>
      <c r="AQ156" s="1"/>
      <c r="AR156" s="1"/>
      <c r="AS156" s="1"/>
    </row>
    <row r="157" spans="30:45" ht="19.5" customHeight="1"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2"/>
      <c r="AO157" s="1"/>
      <c r="AP157" s="1"/>
      <c r="AQ157" s="1"/>
      <c r="AR157" s="1"/>
      <c r="AS157" s="1"/>
    </row>
    <row r="158" spans="30:45" ht="19.5" customHeight="1"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2"/>
      <c r="AO158" s="1"/>
      <c r="AP158" s="1"/>
      <c r="AQ158" s="1"/>
      <c r="AR158" s="1"/>
      <c r="AS158" s="1"/>
    </row>
    <row r="159" spans="30:45" ht="19.5" customHeight="1"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2"/>
      <c r="AO159" s="1"/>
      <c r="AP159" s="1"/>
      <c r="AQ159" s="1"/>
      <c r="AR159" s="1"/>
      <c r="AS159" s="1"/>
    </row>
    <row r="160" spans="30:45" ht="19.5" customHeight="1"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2"/>
      <c r="AO160" s="1"/>
      <c r="AP160" s="1"/>
      <c r="AQ160" s="1"/>
      <c r="AR160" s="1"/>
      <c r="AS160" s="1"/>
    </row>
    <row r="161" spans="30:45" ht="19.5" customHeight="1"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2"/>
      <c r="AO161" s="1"/>
      <c r="AP161" s="1"/>
      <c r="AQ161" s="1"/>
      <c r="AR161" s="1"/>
      <c r="AS161" s="1"/>
    </row>
    <row r="162" spans="30:45" ht="19.5" customHeight="1"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2"/>
      <c r="AO162" s="1"/>
      <c r="AP162" s="1"/>
      <c r="AQ162" s="1"/>
      <c r="AR162" s="1"/>
      <c r="AS162" s="1"/>
    </row>
  </sheetData>
  <sheetProtection/>
  <mergeCells count="36">
    <mergeCell ref="R21:U21"/>
    <mergeCell ref="V21:Y21"/>
    <mergeCell ref="B21:E21"/>
    <mergeCell ref="F21:I21"/>
    <mergeCell ref="J21:M21"/>
    <mergeCell ref="N21:Q21"/>
    <mergeCell ref="Y2:AD2"/>
    <mergeCell ref="AR2:AS2"/>
    <mergeCell ref="G20:J20"/>
    <mergeCell ref="K20:N20"/>
    <mergeCell ref="O20:S20"/>
    <mergeCell ref="U20:X20"/>
    <mergeCell ref="Y20:AD20"/>
    <mergeCell ref="AR20:AS20"/>
    <mergeCell ref="R3:U3"/>
    <mergeCell ref="V3:Y3"/>
    <mergeCell ref="U2:X2"/>
    <mergeCell ref="B3:E3"/>
    <mergeCell ref="F3:I3"/>
    <mergeCell ref="J3:M3"/>
    <mergeCell ref="N3:Q3"/>
    <mergeCell ref="B12:E12"/>
    <mergeCell ref="F12:I12"/>
    <mergeCell ref="G2:J2"/>
    <mergeCell ref="K2:N2"/>
    <mergeCell ref="J12:M12"/>
    <mergeCell ref="N12:Q12"/>
    <mergeCell ref="G11:J11"/>
    <mergeCell ref="O2:S2"/>
    <mergeCell ref="R12:U12"/>
    <mergeCell ref="AR11:AS11"/>
    <mergeCell ref="K11:N11"/>
    <mergeCell ref="O11:S11"/>
    <mergeCell ref="U11:X11"/>
    <mergeCell ref="Y11:AD11"/>
    <mergeCell ref="V12:Y12"/>
  </mergeCells>
  <conditionalFormatting sqref="S8 K6 W9 G5 O7 K15:K16 C4 W18 G14 C13 S17">
    <cfRule type="cellIs" priority="56" dxfId="258" operator="greaterThanOrEqual" stopIfTrue="1">
      <formula>E4</formula>
    </cfRule>
    <cfRule type="cellIs" priority="57" dxfId="259" operator="lessThanOrEqual" stopIfTrue="1">
      <formula>E4</formula>
    </cfRule>
  </conditionalFormatting>
  <conditionalFormatting sqref="U8 M6 Y9 I5 Q7 M15:M16 E4 Y18 I14 E13 U17">
    <cfRule type="cellIs" priority="58" dxfId="258" operator="lessThanOrEqual" stopIfTrue="1">
      <formula>C4</formula>
    </cfRule>
    <cfRule type="cellIs" priority="59" dxfId="259" operator="greaterThanOrEqual" stopIfTrue="1">
      <formula>C4</formula>
    </cfRule>
  </conditionalFormatting>
  <conditionalFormatting sqref="I4 M4:M5 Q4:Q6 U4:U7 Y4:Y8 I13 M13:M14 U13:U16 Y13:Y17 E5:E9 I6:I9 M7:M9 Q8:Q9 U9 M17:M18 U18 E14:E18 Q13:Q18 I15:I18">
    <cfRule type="cellIs" priority="60" dxfId="258" operator="lessThan" stopIfTrue="1">
      <formula>C4</formula>
    </cfRule>
    <cfRule type="cellIs" priority="61" dxfId="259" operator="greaterThan" stopIfTrue="1">
      <formula>C4</formula>
    </cfRule>
    <cfRule type="cellIs" priority="62" dxfId="260" operator="equal" stopIfTrue="1">
      <formula>C4</formula>
    </cfRule>
  </conditionalFormatting>
  <conditionalFormatting sqref="G4 K4:K5 O4:O6 S4:S7 W4:W8 G13 K13:K14 S13:S16 W13:W17 C5:C9 G6:G9 K7:K9 O8:O9 S9 K17:K18 S18 O13:O18 C14:C18 G15:G18">
    <cfRule type="cellIs" priority="63" dxfId="258" operator="greaterThan" stopIfTrue="1">
      <formula>E4</formula>
    </cfRule>
    <cfRule type="cellIs" priority="64" dxfId="259" operator="lessThan" stopIfTrue="1">
      <formula>E4</formula>
    </cfRule>
    <cfRule type="cellIs" priority="65" dxfId="260" operator="equal" stopIfTrue="1">
      <formula>E4</formula>
    </cfRule>
  </conditionalFormatting>
  <conditionalFormatting sqref="K24:K25 W27 G23 C22 S26">
    <cfRule type="cellIs" priority="1" dxfId="258" operator="greaterThanOrEqual" stopIfTrue="1">
      <formula>E22</formula>
    </cfRule>
    <cfRule type="cellIs" priority="2" dxfId="259" operator="lessThanOrEqual" stopIfTrue="1">
      <formula>E22</formula>
    </cfRule>
  </conditionalFormatting>
  <conditionalFormatting sqref="M24:M25 Y27 I23 E22 U26">
    <cfRule type="cellIs" priority="3" dxfId="258" operator="lessThanOrEqual" stopIfTrue="1">
      <formula>C22</formula>
    </cfRule>
    <cfRule type="cellIs" priority="4" dxfId="259" operator="greaterThanOrEqual" stopIfTrue="1">
      <formula>C22</formula>
    </cfRule>
  </conditionalFormatting>
  <conditionalFormatting sqref="I22 M22:M23 U22:U25 Y22:Y26 M26:M27 U27 E23:E27 Q22:Q27 I24:I27">
    <cfRule type="cellIs" priority="5" dxfId="258" operator="lessThan" stopIfTrue="1">
      <formula>C22</formula>
    </cfRule>
    <cfRule type="cellIs" priority="6" dxfId="259" operator="greaterThan" stopIfTrue="1">
      <formula>C22</formula>
    </cfRule>
    <cfRule type="cellIs" priority="7" dxfId="260" operator="equal" stopIfTrue="1">
      <formula>C22</formula>
    </cfRule>
  </conditionalFormatting>
  <conditionalFormatting sqref="G22 K22:K23 S22:S25 W22:W26 K26:K27 S27 O22:O27 C23:C27 G24:G27">
    <cfRule type="cellIs" priority="8" dxfId="258" operator="greaterThan" stopIfTrue="1">
      <formula>E22</formula>
    </cfRule>
    <cfRule type="cellIs" priority="9" dxfId="259" operator="lessThan" stopIfTrue="1">
      <formula>E22</formula>
    </cfRule>
    <cfRule type="cellIs" priority="10" dxfId="260" operator="equal" stopIfTrue="1">
      <formula>E22</formula>
    </cfRule>
  </conditionalFormatting>
  <printOptions horizontalCentered="1"/>
  <pageMargins left="0.3937007874015748" right="0.3937007874015748" top="0.984251968503937" bottom="0.5511811023622047" header="0.5118110236220472" footer="0.5118110236220472"/>
  <pageSetup cellComments="asDisplayed" horizontalDpi="300" verticalDpi="300" orientation="landscape" paperSize="8" scale="70" r:id="rId2"/>
  <headerFooter alignWithMargins="0">
    <oddHeader>&amp;C２０２３年小金原地区近隣大会教育リーグ組み合わせ表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小野塚</dc:creator>
  <cp:keywords/>
  <dc:description/>
  <cp:lastModifiedBy>小野塚 良明</cp:lastModifiedBy>
  <cp:lastPrinted>2021-08-03T00:06:04Z</cp:lastPrinted>
  <dcterms:created xsi:type="dcterms:W3CDTF">2005-06-02T07:14:57Z</dcterms:created>
  <dcterms:modified xsi:type="dcterms:W3CDTF">2024-02-04T23:39:13Z</dcterms:modified>
  <cp:category/>
  <cp:version/>
  <cp:contentType/>
  <cp:contentStatus/>
</cp:coreProperties>
</file>